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ashboard" sheetId="1" r:id="rId1"/>
  </sheets>
  <definedNames>
    <definedName name="listYear">OFFSET('Dashboard'!$AN$3,0,0,,COUNTA('Dashboard'!$AM$3:$CA$3)-1)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<sst xmlns="http://schemas.openxmlformats.org/spreadsheetml/2006/main" count="60" uniqueCount="57">
  <si>
    <t>Other Equity Cash Flows</t>
  </si>
  <si>
    <t>Equity Dividends Paid</t>
  </si>
  <si>
    <t>Equity Drawdowns/(Repayments)</t>
  </si>
  <si>
    <t>Debt Drawdowns/(Repayments)</t>
  </si>
  <si>
    <t>Other Investing Cash Flows</t>
  </si>
  <si>
    <t>Capital Expenditure</t>
  </si>
  <si>
    <t>Other Operating Cash Flows</t>
  </si>
  <si>
    <t>Net Profit Margin</t>
  </si>
  <si>
    <t>2018 (F)</t>
  </si>
  <si>
    <t>Go to Index</t>
  </si>
  <si>
    <t>Dashboard</t>
  </si>
  <si>
    <t>Cashflow Statement (Actuals &amp; Forecast) ($ '0,000)</t>
  </si>
  <si>
    <t>Strategic Plan</t>
  </si>
  <si>
    <t>Year Ending 31 December</t>
  </si>
  <si>
    <t>Income Statement (Actuals &amp; Forecast) ($ '0,000)</t>
  </si>
  <si>
    <t>2011 (A)</t>
  </si>
  <si>
    <t>2012 (A)</t>
  </si>
  <si>
    <t>2013 (B)</t>
  </si>
  <si>
    <t>2014 (F)</t>
  </si>
  <si>
    <t>2015 (F)</t>
  </si>
  <si>
    <t>2016 (F)</t>
  </si>
  <si>
    <t>2017 (F)</t>
  </si>
  <si>
    <t>Net revenue</t>
  </si>
  <si>
    <t>Cost of sales</t>
  </si>
  <si>
    <t>Gross profit</t>
  </si>
  <si>
    <t>Selling and marketing expenses</t>
  </si>
  <si>
    <t>General and administrative expenses</t>
  </si>
  <si>
    <t>EBITDA</t>
  </si>
  <si>
    <t>Depreciation and amortization</t>
  </si>
  <si>
    <t>EBIT</t>
  </si>
  <si>
    <t>Net financing costs</t>
  </si>
  <si>
    <t>Share of net earnings (loss) of equity-accounted investments</t>
  </si>
  <si>
    <t>EBT</t>
  </si>
  <si>
    <t>Income tax expense</t>
  </si>
  <si>
    <t>Net income</t>
  </si>
  <si>
    <t>Balance Sheet (Actuals &amp; Forecast) ($ '0,000)</t>
  </si>
  <si>
    <t>Current Assets</t>
  </si>
  <si>
    <t>Non-Current Assets</t>
  </si>
  <si>
    <t>Total Assets</t>
  </si>
  <si>
    <t>Current Liabilities</t>
  </si>
  <si>
    <t>Non-Current Liabilities</t>
  </si>
  <si>
    <t>Total Liabilities</t>
  </si>
  <si>
    <t>Net Assets</t>
  </si>
  <si>
    <t>Total equity attributable to equity holders of the Corporation</t>
  </si>
  <si>
    <t xml:space="preserve">Non-controlling interests  </t>
  </si>
  <si>
    <t>Retained Earnings</t>
  </si>
  <si>
    <t>Total Equity</t>
  </si>
  <si>
    <t>Cash Receipts</t>
  </si>
  <si>
    <t>Cash Payments</t>
  </si>
  <si>
    <t>Cashflow from Operating Activities</t>
  </si>
  <si>
    <t>Cashflow from Investing Activities</t>
  </si>
  <si>
    <t>Cashflow from Financing Activities</t>
  </si>
  <si>
    <t>Net Increase (Decrease) in Cash</t>
  </si>
  <si>
    <t>Select Year</t>
  </si>
  <si>
    <t>Graph Inputs</t>
  </si>
  <si>
    <t>Values</t>
  </si>
  <si>
    <t>Invisible Column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</si>
</sst>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#,##0.0_);\(#,##0.0\);_(&quot;-&quot;_)"/>
    <numFmt numFmtId="173" formatCode="_(#,##0_);\(#,##0\);_(&quot;-&quot;_)"/>
    <numFmt numFmtId="174" formatCode="_(&quot;$&quot;#,##0.0_);\(&quot;$&quot;#,##0.0\);_(&quot;-&quot;_)"/>
    <numFmt numFmtId="175" formatCode="_(&quot;$&quot;#,##0.00\ &quot;per kg&quot;_);\(&quot;$&quot;#,##0.00\);_(&quot;-&quot;_)"/>
    <numFmt numFmtId="176" formatCode="_(&quot;$&quot;#,##0.00_);\(&quot;$&quot;#,##0.00\);_(&quot;-&quot;_)"/>
    <numFmt numFmtId="177" formatCode="_(#,##0\ &quot;cycles&quot;_);\(#,##0\);_(&quot;-&quot;_)"/>
    <numFmt numFmtId="178" formatCode="_(&quot;~&quot;\ #,##0\ &quot;kg&quot;_);\(#,##0\);_(&quot;-&quot;_)"/>
    <numFmt numFmtId="179" formatCode="_(#,##0.0%_);\(#,##0.0%\);_(&quot;-&quot;_)"/>
    <numFmt numFmtId="180" formatCode="0.0%"/>
    <numFmt numFmtId="181" formatCode="#,##0\ &quot;Barn&quot;"/>
    <numFmt numFmtId="182" formatCode="#,##0\ &quot;Barns&quot;"/>
    <numFmt numFmtId="183" formatCode="_(#,##0_);\(#,##0\);_-&quot;-&quot;_-"/>
    <numFmt numFmtId="184" formatCode="_(\$#,##0.0_);\(\$#,##0.0\);_(&quot;-&quot;_)"/>
  </numFmts>
  <fonts count="72">
    <font>
      <sz val="11"/>
      <color theme="3"/>
      <name val="Calibri"/>
      <family val="2"/>
    </font>
    <font>
      <sz val="8"/>
      <color indexed="8"/>
      <name val="Tahoma"/>
      <family val="2"/>
    </font>
    <font>
      <sz val="8"/>
      <color indexed="62"/>
      <name val="Calibri"/>
      <family val="2"/>
    </font>
    <font>
      <sz val="11"/>
      <color indexed="54"/>
      <name val="Calibri"/>
      <family val="2"/>
    </font>
    <font>
      <sz val="8"/>
      <color indexed="9"/>
      <name val="Tahoma"/>
      <family val="2"/>
    </font>
    <font>
      <sz val="8"/>
      <color indexed="20"/>
      <name val="Tahoma"/>
      <family val="2"/>
    </font>
    <font>
      <b/>
      <sz val="8"/>
      <color indexed="52"/>
      <name val="Tahoma"/>
      <family val="2"/>
    </font>
    <font>
      <b/>
      <sz val="8"/>
      <color indexed="9"/>
      <name val="Tahoma"/>
      <family val="2"/>
    </font>
    <font>
      <sz val="11"/>
      <color indexed="8"/>
      <name val="Calibri"/>
      <family val="2"/>
    </font>
    <font>
      <sz val="8"/>
      <name val="Calibri"/>
      <family val="2"/>
    </font>
    <font>
      <i/>
      <sz val="8"/>
      <color indexed="23"/>
      <name val="Tahoma"/>
      <family val="2"/>
    </font>
    <font>
      <sz val="8"/>
      <color indexed="17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Tahoma"/>
      <family val="2"/>
    </font>
    <font>
      <u val="single"/>
      <sz val="11"/>
      <color indexed="30"/>
      <name val="Calibri"/>
      <family val="2"/>
    </font>
    <font>
      <sz val="8"/>
      <color indexed="62"/>
      <name val="Tahoma"/>
      <family val="2"/>
    </font>
    <font>
      <sz val="8"/>
      <color indexed="52"/>
      <name val="Tahoma"/>
      <family val="2"/>
    </font>
    <font>
      <sz val="8"/>
      <color indexed="60"/>
      <name val="Tahoma"/>
      <family val="2"/>
    </font>
    <font>
      <b/>
      <sz val="8"/>
      <color indexed="63"/>
      <name val="Tahoma"/>
      <family val="2"/>
    </font>
    <font>
      <sz val="11"/>
      <name val="Calibri"/>
      <family val="2"/>
    </font>
    <font>
      <b/>
      <sz val="8"/>
      <name val="Calibri"/>
      <family val="2"/>
    </font>
    <font>
      <b/>
      <sz val="9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18"/>
      <color indexed="54"/>
      <name val="Calibri Light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i/>
      <sz val="8"/>
      <name val="Calibri Light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name val="Calibri"/>
      <family val="2"/>
    </font>
    <font>
      <b/>
      <u val="single"/>
      <sz val="11"/>
      <color indexed="30"/>
      <name val="Calibri"/>
      <family val="2"/>
    </font>
    <font>
      <sz val="11"/>
      <color indexed="10"/>
      <name val="Calibri"/>
      <family val="2"/>
    </font>
    <font>
      <b/>
      <sz val="12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sz val="11"/>
      <color theme="1"/>
      <name val="Calibri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sz val="18"/>
      <color theme="3"/>
      <name val="Calibri Light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3"/>
      <name val="Calibri"/>
      <family val="2"/>
    </font>
    <font>
      <b/>
      <sz val="11"/>
      <color theme="3"/>
      <name val="Calibri"/>
      <family val="2"/>
    </font>
    <font>
      <b/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ashed"/>
      <bottom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9" fillId="0" borderId="0" applyFill="0" applyBorder="0">
      <alignment vertical="center"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172" fontId="9" fillId="0" borderId="0" applyFill="0" applyBorder="0">
      <alignment vertical="center"/>
      <protection/>
    </xf>
    <xf numFmtId="0" fontId="60" fillId="27" borderId="8" applyNumberFormat="0" applyAlignment="0" applyProtection="0"/>
    <xf numFmtId="14" fontId="20" fillId="0" borderId="0">
      <alignment horizontal="right"/>
      <protection/>
    </xf>
    <xf numFmtId="180" fontId="50" fillId="0" borderId="0" applyFill="0" applyBorder="0" applyAlignment="0" applyProtection="0"/>
    <xf numFmtId="179" fontId="9" fillId="0" borderId="0" applyFill="0" applyBorder="0">
      <alignment vertical="center"/>
      <protection/>
    </xf>
    <xf numFmtId="0" fontId="21" fillId="0" borderId="0" applyFill="0" applyBorder="0">
      <alignment vertical="center"/>
      <protection/>
    </xf>
    <xf numFmtId="0" fontId="22" fillId="0" borderId="0" applyFill="0" applyBorder="0">
      <alignment vertical="center"/>
      <protection/>
    </xf>
    <xf numFmtId="0" fontId="23" fillId="0" borderId="0" applyFill="0" applyBorder="0">
      <alignment vertical="center"/>
      <protection/>
    </xf>
    <xf numFmtId="0" fontId="24" fillId="0" borderId="0" applyFill="0" applyBorder="0">
      <alignment vertical="center"/>
      <protection/>
    </xf>
    <xf numFmtId="0" fontId="9" fillId="0" borderId="0" applyFill="0" applyBorder="0">
      <alignment vertical="center"/>
      <protection/>
    </xf>
    <xf numFmtId="172" fontId="9" fillId="0" borderId="0" applyFill="0" applyBorder="0">
      <alignment vertical="center"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173" fontId="64" fillId="0" borderId="10" xfId="43" applyNumberFormat="1" applyFont="1" applyBorder="1" applyAlignment="1">
      <alignment/>
    </xf>
    <xf numFmtId="169" fontId="64" fillId="0" borderId="0" xfId="0" applyNumberFormat="1" applyFont="1" applyAlignment="1">
      <alignment/>
    </xf>
    <xf numFmtId="0" fontId="65" fillId="0" borderId="0" xfId="0" applyFont="1" applyAlignment="1">
      <alignment/>
    </xf>
    <xf numFmtId="0" fontId="30" fillId="0" borderId="0" xfId="0" applyFont="1" applyAlignment="1">
      <alignment/>
    </xf>
    <xf numFmtId="172" fontId="0" fillId="0" borderId="0" xfId="43" applyFont="1" applyAlignment="1">
      <alignment/>
    </xf>
    <xf numFmtId="173" fontId="30" fillId="0" borderId="0" xfId="43" applyNumberFormat="1" applyFont="1" applyAlignment="1">
      <alignment/>
    </xf>
    <xf numFmtId="173" fontId="0" fillId="0" borderId="0" xfId="43" applyNumberFormat="1" applyFont="1" applyAlignment="1">
      <alignment/>
    </xf>
    <xf numFmtId="0" fontId="20" fillId="0" borderId="0" xfId="0" applyFont="1" applyAlignment="1">
      <alignment/>
    </xf>
    <xf numFmtId="175" fontId="0" fillId="0" borderId="0" xfId="47" applyNumberFormat="1" applyFont="1">
      <alignment vertical="center"/>
      <protection/>
    </xf>
    <xf numFmtId="0" fontId="0" fillId="0" borderId="0" xfId="0" applyAlignment="1">
      <alignment vertical="center"/>
    </xf>
    <xf numFmtId="176" fontId="0" fillId="0" borderId="11" xfId="47" applyNumberFormat="1" applyFont="1" applyBorder="1">
      <alignment vertical="center"/>
      <protection/>
    </xf>
    <xf numFmtId="3" fontId="0" fillId="0" borderId="0" xfId="0" applyNumberFormat="1" applyAlignment="1">
      <alignment vertical="center"/>
    </xf>
    <xf numFmtId="174" fontId="0" fillId="0" borderId="0" xfId="47" applyFont="1">
      <alignment vertical="center"/>
      <protection/>
    </xf>
    <xf numFmtId="0" fontId="21" fillId="0" borderId="0" xfId="0" applyFont="1" applyAlignment="1">
      <alignment vertical="center"/>
    </xf>
    <xf numFmtId="0" fontId="21" fillId="0" borderId="0" xfId="64" applyFont="1" applyFill="1" applyAlignment="1">
      <alignment horizontal="right" vertical="center"/>
      <protection/>
    </xf>
    <xf numFmtId="173" fontId="0" fillId="0" borderId="0" xfId="0" applyNumberFormat="1" applyAlignment="1">
      <alignment vertical="center"/>
    </xf>
    <xf numFmtId="174" fontId="0" fillId="0" borderId="11" xfId="47" applyFont="1" applyBorder="1">
      <alignment vertical="center"/>
      <protection/>
    </xf>
    <xf numFmtId="177" fontId="9" fillId="0" borderId="0" xfId="69" applyNumberFormat="1" applyFill="1">
      <alignment vertical="center"/>
      <protection/>
    </xf>
    <xf numFmtId="173" fontId="9" fillId="0" borderId="0" xfId="69" applyNumberFormat="1" applyFill="1">
      <alignment vertical="center"/>
      <protection/>
    </xf>
    <xf numFmtId="178" fontId="9" fillId="0" borderId="0" xfId="69" applyNumberFormat="1" applyFill="1">
      <alignment vertical="center"/>
      <protection/>
    </xf>
    <xf numFmtId="0" fontId="24" fillId="0" borderId="0" xfId="67" applyFill="1">
      <alignment vertical="center"/>
      <protection/>
    </xf>
    <xf numFmtId="0" fontId="9" fillId="0" borderId="0" xfId="68" applyFill="1">
      <alignment vertical="center"/>
      <protection/>
    </xf>
    <xf numFmtId="179" fontId="31" fillId="0" borderId="11" xfId="63" applyFont="1" applyFill="1" applyBorder="1">
      <alignment vertical="center"/>
      <protection/>
    </xf>
    <xf numFmtId="0" fontId="32" fillId="0" borderId="0" xfId="68" applyFont="1" applyFill="1">
      <alignment vertical="center"/>
      <protection/>
    </xf>
    <xf numFmtId="0" fontId="33" fillId="0" borderId="0" xfId="66" applyFont="1" applyFill="1">
      <alignment vertical="center"/>
      <protection/>
    </xf>
    <xf numFmtId="172" fontId="9" fillId="0" borderId="0" xfId="69" applyFill="1">
      <alignment vertical="center"/>
      <protection/>
    </xf>
    <xf numFmtId="172" fontId="32" fillId="0" borderId="11" xfId="59" applyFont="1" applyFill="1" applyBorder="1">
      <alignment vertical="center"/>
      <protection/>
    </xf>
    <xf numFmtId="172" fontId="32" fillId="0" borderId="0" xfId="59" applyFont="1" applyFill="1" applyBorder="1">
      <alignment vertical="center"/>
      <protection/>
    </xf>
    <xf numFmtId="179" fontId="32" fillId="0" borderId="11" xfId="63" applyFont="1" applyFill="1" applyBorder="1">
      <alignment vertical="center"/>
      <protection/>
    </xf>
    <xf numFmtId="0" fontId="21" fillId="0" borderId="0" xfId="64" applyFont="1" applyFill="1">
      <alignment vertical="center"/>
      <protection/>
    </xf>
    <xf numFmtId="0" fontId="9" fillId="0" borderId="0" xfId="68">
      <alignment vertical="center"/>
      <protection/>
    </xf>
    <xf numFmtId="172" fontId="65" fillId="0" borderId="12" xfId="44" applyFont="1" applyBorder="1" applyAlignment="1">
      <alignment/>
    </xf>
    <xf numFmtId="0" fontId="34" fillId="0" borderId="0" xfId="64" applyFont="1" applyFill="1">
      <alignment vertical="center"/>
      <protection/>
    </xf>
    <xf numFmtId="172" fontId="65" fillId="0" borderId="11" xfId="44" applyFont="1" applyBorder="1" applyAlignment="1">
      <alignment/>
    </xf>
    <xf numFmtId="172" fontId="50" fillId="0" borderId="0" xfId="44" applyAlignment="1">
      <alignment/>
    </xf>
    <xf numFmtId="0" fontId="35" fillId="0" borderId="0" xfId="64" applyFont="1" applyFill="1">
      <alignment vertical="center"/>
      <protection/>
    </xf>
    <xf numFmtId="0" fontId="34" fillId="0" borderId="0" xfId="64" applyFont="1" applyFill="1" applyAlignment="1">
      <alignment horizontal="right" vertical="center"/>
      <protection/>
    </xf>
    <xf numFmtId="172" fontId="65" fillId="0" borderId="13" xfId="44" applyFont="1" applyBorder="1" applyAlignment="1">
      <alignment/>
    </xf>
    <xf numFmtId="0" fontId="9" fillId="0" borderId="0" xfId="68" quotePrefix="1">
      <alignment vertical="center"/>
      <protection/>
    </xf>
    <xf numFmtId="3" fontId="24" fillId="0" borderId="0" xfId="67" applyNumberFormat="1" applyFill="1">
      <alignment vertical="center"/>
      <protection/>
    </xf>
    <xf numFmtId="179" fontId="36" fillId="0" borderId="0" xfId="63" applyFont="1">
      <alignment vertical="center"/>
      <protection/>
    </xf>
    <xf numFmtId="0" fontId="37" fillId="0" borderId="0" xfId="64" applyFont="1" applyFill="1">
      <alignment vertical="center"/>
      <protection/>
    </xf>
    <xf numFmtId="179" fontId="32" fillId="0" borderId="0" xfId="63" applyFont="1" applyFill="1">
      <alignment vertical="center"/>
      <protection/>
    </xf>
    <xf numFmtId="173" fontId="50" fillId="0" borderId="0" xfId="44" applyNumberFormat="1" applyAlignment="1">
      <alignment/>
    </xf>
    <xf numFmtId="180" fontId="66" fillId="0" borderId="0" xfId="62" applyFont="1" applyAlignment="1">
      <alignment/>
    </xf>
    <xf numFmtId="173" fontId="0" fillId="0" borderId="0" xfId="0" applyNumberForma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14" fontId="34" fillId="0" borderId="0" xfId="64" applyNumberFormat="1" applyFont="1" applyFill="1" applyAlignment="1">
      <alignment horizontal="right" vertical="center"/>
      <protection/>
    </xf>
    <xf numFmtId="14" fontId="41" fillId="0" borderId="0" xfId="61" applyFont="1">
      <alignment horizontal="right"/>
      <protection/>
    </xf>
    <xf numFmtId="0" fontId="69" fillId="0" borderId="0" xfId="54" applyFont="1" applyAlignment="1">
      <alignment/>
    </xf>
    <xf numFmtId="0" fontId="54" fillId="0" borderId="4" xfId="51" applyAlignment="1">
      <alignment/>
    </xf>
    <xf numFmtId="0" fontId="53" fillId="0" borderId="3" xfId="50" applyAlignment="1">
      <alignment/>
    </xf>
    <xf numFmtId="173" fontId="50" fillId="33" borderId="0" xfId="44" applyNumberFormat="1" applyFill="1" applyAlignment="1">
      <alignment/>
    </xf>
    <xf numFmtId="0" fontId="0" fillId="0" borderId="0" xfId="0" applyAlignment="1">
      <alignment horizontal="center" wrapText="1"/>
    </xf>
    <xf numFmtId="0" fontId="70" fillId="0" borderId="0" xfId="0" applyFont="1" applyAlignment="1">
      <alignment/>
    </xf>
    <xf numFmtId="0" fontId="0" fillId="33" borderId="0" xfId="0" applyFill="1" applyAlignment="1">
      <alignment/>
    </xf>
    <xf numFmtId="0" fontId="67" fillId="33" borderId="0" xfId="0" applyFont="1" applyFill="1" applyAlignment="1">
      <alignment/>
    </xf>
    <xf numFmtId="14" fontId="0" fillId="0" borderId="0" xfId="0" applyNumberFormat="1" applyAlignment="1">
      <alignment horizontal="right"/>
    </xf>
    <xf numFmtId="0" fontId="0" fillId="34" borderId="0" xfId="0" applyFill="1" applyAlignment="1">
      <alignment/>
    </xf>
    <xf numFmtId="173" fontId="50" fillId="6" borderId="0" xfId="44" applyNumberFormat="1" applyFill="1" applyAlignment="1">
      <alignment/>
    </xf>
    <xf numFmtId="173" fontId="50" fillId="12" borderId="0" xfId="44" applyNumberFormat="1" applyFill="1" applyAlignment="1">
      <alignment/>
    </xf>
    <xf numFmtId="0" fontId="71" fillId="35" borderId="0" xfId="65" applyFont="1" applyFill="1" applyBorder="1" applyAlignment="1" quotePrefix="1">
      <alignment horizontal="center" vertical="center"/>
      <protection/>
    </xf>
    <xf numFmtId="0" fontId="71" fillId="35" borderId="0" xfId="65" applyFont="1" applyFill="1" applyBorder="1" applyAlignment="1">
      <alignment horizontal="center" vertical="center"/>
      <protection/>
    </xf>
    <xf numFmtId="0" fontId="71" fillId="36" borderId="0" xfId="65" applyFont="1" applyFill="1" applyBorder="1" applyAlignment="1" quotePrefix="1">
      <alignment horizontal="center" vertical="center"/>
      <protection/>
    </xf>
    <xf numFmtId="0" fontId="71" fillId="36" borderId="0" xfId="65" applyFont="1" applyFill="1" applyBorder="1" applyAlignment="1">
      <alignment horizontal="center"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Output" xfId="44"/>
    <cellStyle name="Currency" xfId="45"/>
    <cellStyle name="Currency [0]" xfId="46"/>
    <cellStyle name="Currency.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Number." xfId="59"/>
    <cellStyle name="Output" xfId="60"/>
    <cellStyle name="Output Cell" xfId="61"/>
    <cellStyle name="Percent" xfId="62"/>
    <cellStyle name="Percentage." xfId="63"/>
    <cellStyle name="Period Title." xfId="64"/>
    <cellStyle name="Presentation Heading 2." xfId="65"/>
    <cellStyle name="Presentation Heading 3." xfId="66"/>
    <cellStyle name="Presentation Heading 4." xfId="67"/>
    <cellStyle name="Presentation Normal." xfId="68"/>
    <cellStyle name="Presentation Number." xfId="69"/>
    <cellStyle name="Title" xfId="70"/>
    <cellStyle name="Total" xfId="71"/>
    <cellStyle name="Warning Text" xfId="72"/>
  </cellStyles>
  <dxfs count="9">
    <dxf/>
    <dxf/>
    <dxf/>
    <dxf/>
    <dxf/>
    <dxf/>
    <dxf>
      <numFmt numFmtId="183" formatCode="_(#,##0_);\(#,##0\);_-&quot;-&quot;_-"/>
      <border/>
    </dxf>
    <dxf>
      <numFmt numFmtId="182" formatCode="#,##0\ &quot;Barns&quot;"/>
      <border/>
    </dxf>
    <dxf>
      <numFmt numFmtId="181" formatCode="#,##0\ &quot;Barn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25"/>
          <c:y val="0.127"/>
          <c:w val="0.8895"/>
          <c:h val="0.84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Dashboard!$AL$4</c:f>
              <c:strCache>
                <c:ptCount val="1"/>
                <c:pt idx="0">
                  <c:v>EBITDA</c:v>
                </c:pt>
              </c:strCache>
            </c:strRef>
          </c:tx>
          <c:spPr>
            <a:solidFill>
              <a:srgbClr val="30549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Dashboard!$AM$3:$AT$3</c:f>
              <c:strCache/>
            </c:strRef>
          </c:cat>
          <c:val>
            <c:numRef>
              <c:f>Dashboard!$AM$4:$AT$4</c:f>
              <c:numCache/>
            </c:numRef>
          </c:val>
        </c:ser>
        <c:overlap val="100"/>
        <c:axId val="46789812"/>
        <c:axId val="18455125"/>
      </c:barChart>
      <c:cat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55125"/>
        <c:crosses val="autoZero"/>
        <c:auto val="1"/>
        <c:lblOffset val="100"/>
        <c:tickLblSkip val="1"/>
        <c:noMultiLvlLbl val="0"/>
      </c:catAx>
      <c:valAx>
        <c:axId val="18455125"/>
        <c:scaling>
          <c:orientation val="minMax"/>
        </c:scaling>
        <c:axPos val="l"/>
        <c:delete val="0"/>
        <c:numFmt formatCode="_(\$#,##0.0_);\(\$#,##0.0\);_(&quot;-&quot;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89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425"/>
          <c:y val="0.16525"/>
          <c:w val="0.8885"/>
          <c:h val="0.7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Dashboard!$AN$8</c:f>
              <c:strCache>
                <c:ptCount val="1"/>
                <c:pt idx="0">
                  <c:v>EBITDA - 2017 (F)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Dashboard!$AL$9:$AL$14</c:f>
              <c:strCache/>
            </c:strRef>
          </c:cat>
          <c:val>
            <c:numRef>
              <c:f>Dashboard!$AN$9:$AN$14</c:f>
              <c:numCache/>
            </c:numRef>
          </c:val>
        </c:ser>
        <c:ser>
          <c:idx val="1"/>
          <c:order val="1"/>
          <c:tx>
            <c:strRef>
              <c:f>Dashboard!$AO$8</c:f>
              <c:strCache>
                <c:ptCount val="1"/>
                <c:pt idx="0">
                  <c:v>Invisible Column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Dashboard!$AL$9:$AL$14</c:f>
              <c:strCache/>
            </c:strRef>
          </c:cat>
          <c:val>
            <c:numRef>
              <c:f>Dashboard!$AO$9:$AO$14</c:f>
              <c:numCache/>
            </c:numRef>
          </c:val>
        </c:ser>
        <c:ser>
          <c:idx val="2"/>
          <c:order val="2"/>
          <c:tx>
            <c:strRef>
              <c:f>Dashboard!$AP$8</c:f>
              <c:strCache>
                <c:ptCount val="1"/>
                <c:pt idx="0">
                  <c:v>EBITDA Accretive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Dashboard!$AL$9:$AL$14</c:f>
              <c:strCache/>
            </c:strRef>
          </c:cat>
          <c:val>
            <c:numRef>
              <c:f>Dashboard!$AP$9:$AP$14</c:f>
              <c:numCache/>
            </c:numRef>
          </c:val>
        </c:ser>
        <c:ser>
          <c:idx val="4"/>
          <c:order val="3"/>
          <c:tx>
            <c:strRef>
              <c:f>Dashboard!$AR$8</c:f>
              <c:strCache>
                <c:ptCount val="1"/>
                <c:pt idx="0">
                  <c:v>EBITDA - 2018 (F)</c:v>
                </c:pt>
              </c:strCache>
            </c:strRef>
          </c:tx>
          <c:spPr>
            <a:solidFill>
              <a:srgbClr val="305496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Dashboard!$AL$9:$AL$14</c:f>
              <c:strCache/>
            </c:strRef>
          </c:cat>
          <c:val>
            <c:numRef>
              <c:f>Dashboard!$AR$9:$AR$14</c:f>
              <c:numCache/>
            </c:numRef>
          </c:val>
        </c:ser>
        <c:ser>
          <c:idx val="3"/>
          <c:order val="4"/>
          <c:tx>
            <c:strRef>
              <c:f>Dashboard!$AQ$8</c:f>
              <c:strCache>
                <c:ptCount val="1"/>
                <c:pt idx="0">
                  <c:v>EBITDA Dilutive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Dashboard!$AL$9:$AL$14</c:f>
              <c:strCache/>
            </c:strRef>
          </c:cat>
          <c:val>
            <c:numRef>
              <c:f>Dashboard!$AQ$9:$AQ$14</c:f>
              <c:numCache/>
            </c:numRef>
          </c:val>
        </c:ser>
        <c:overlap val="100"/>
        <c:axId val="31878398"/>
        <c:axId val="18470127"/>
      </c:barChart>
      <c:cat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0127"/>
        <c:crosses val="autoZero"/>
        <c:auto val="1"/>
        <c:lblOffset val="100"/>
        <c:tickLblSkip val="1"/>
        <c:noMultiLvlLbl val="0"/>
      </c:catAx>
      <c:valAx>
        <c:axId val="18470127"/>
        <c:scaling>
          <c:orientation val="minMax"/>
        </c:scaling>
        <c:axPos val="l"/>
        <c:delete val="0"/>
        <c:numFmt formatCode="_(\$#,##0.0_);\(\$#,##0.0\);_(&quot;-&quot;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783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trategizefm.com/" TargetMode="External" /><Relationship Id="rId3" Type="http://schemas.openxmlformats.org/officeDocument/2006/relationships/hyperlink" Target="http://www.strategizefm.com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trategizefm.com/" TargetMode="External" /><Relationship Id="rId4" Type="http://schemas.openxmlformats.org/officeDocument/2006/relationships/hyperlink" Target="http://www.strategizefm.com/" TargetMode="External" /><Relationship Id="rId5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0.3865</cdr:x>
      <cdr:y>0.06825</cdr:y>
    </cdr:from>
    <cdr:to>
      <cdr:x>0.75025</cdr:x>
      <cdr:y>0.18975</cdr:y>
    </cdr:to>
    <cdr:sp textlink="Dashboard!$W$4">
      <cdr:nvSpPr>
        <cdr:cNvPr id="1" name="TextBox 1"/>
        <cdr:cNvSpPr txBox="1">
          <a:spLocks noChangeArrowheads="1"/>
        </cdr:cNvSpPr>
      </cdr:nvSpPr>
      <cdr:spPr>
        <a:xfrm>
          <a:off x="1847850" y="200025"/>
          <a:ext cx="1743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bfd9d6d0-a495-4085-a238-04bfe75c6235}" type="TxLink">
            <a:rPr lang="en-US" cap="none" sz="11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EBITDA ($ '000s)</a:t>
          </a:fld>
        </a:p>
      </cdr:txBody>
    </cdr:sp>
  </cdr:relSizeAnchor>
  <cdr:relSizeAnchor xmlns:cdr="http://schemas.openxmlformats.org/drawingml/2006/chartDrawing">
    <cdr:from>
      <cdr:x>0.71</cdr:x>
      <cdr:y>0.00625</cdr:y>
    </cdr:from>
    <cdr:to>
      <cdr:x>0.9925</cdr:x>
      <cdr:y>0.153</cdr:y>
    </cdr:to>
    <cdr:pic>
      <cdr:nvPicPr>
        <cdr:cNvPr id="2" name="Picture 3">
          <a:hlinkClick r:id="rId3"/>
        </cdr:cNvPr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400425" y="9525"/>
          <a:ext cx="1352550" cy="4476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0.126</cdr:y>
    </cdr:from>
    <cdr:to>
      <cdr:x>0.804</cdr:x>
      <cdr:y>0.242</cdr:y>
    </cdr:to>
    <cdr:sp textlink="Dashboard!$AL$7">
      <cdr:nvSpPr>
        <cdr:cNvPr id="1" name="TextBox 1"/>
        <cdr:cNvSpPr txBox="1">
          <a:spLocks noChangeArrowheads="1"/>
        </cdr:cNvSpPr>
      </cdr:nvSpPr>
      <cdr:spPr>
        <a:xfrm>
          <a:off x="1266825" y="381000"/>
          <a:ext cx="2571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eec5763-ddd3-4da0-844c-7349be7f0115}" type="TxLink">
            <a:rPr lang="en-US" cap="none" sz="1100" b="1" i="0" u="none" baseline="0">
              <a:solidFill>
                <a:srgbClr val="666699"/>
              </a:solidFill>
              <a:latin typeface="Calibri"/>
              <a:ea typeface="Calibri"/>
              <a:cs typeface="Calibri"/>
            </a:rPr>
            <a:t>EBITDA ($ '000s) - Waterfall Chart - 2018 (F)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3</xdr:row>
      <xdr:rowOff>180975</xdr:rowOff>
    </xdr:from>
    <xdr:to>
      <xdr:col>29</xdr:col>
      <xdr:colOff>390525</xdr:colOff>
      <xdr:row>18</xdr:row>
      <xdr:rowOff>190500</xdr:rowOff>
    </xdr:to>
    <xdr:graphicFrame>
      <xdr:nvGraphicFramePr>
        <xdr:cNvPr id="1" name="Chart 1"/>
        <xdr:cNvGraphicFramePr/>
      </xdr:nvGraphicFramePr>
      <xdr:xfrm>
        <a:off x="11639550" y="876300"/>
        <a:ext cx="47910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19</xdr:col>
      <xdr:colOff>161925</xdr:colOff>
      <xdr:row>0</xdr:row>
      <xdr:rowOff>47625</xdr:rowOff>
    </xdr:from>
    <xdr:to>
      <xdr:col>20</xdr:col>
      <xdr:colOff>704850</xdr:colOff>
      <xdr:row>1</xdr:row>
      <xdr:rowOff>161925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47625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9525</xdr:colOff>
      <xdr:row>3</xdr:row>
      <xdr:rowOff>171450</xdr:rowOff>
    </xdr:from>
    <xdr:to>
      <xdr:col>36</xdr:col>
      <xdr:colOff>161925</xdr:colOff>
      <xdr:row>18</xdr:row>
      <xdr:rowOff>180975</xdr:rowOff>
    </xdr:to>
    <xdr:graphicFrame>
      <xdr:nvGraphicFramePr>
        <xdr:cNvPr id="3" name="Chart 3"/>
        <xdr:cNvGraphicFramePr/>
      </xdr:nvGraphicFramePr>
      <xdr:xfrm>
        <a:off x="16659225" y="866775"/>
        <a:ext cx="4781550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159"/>
  <sheetViews>
    <sheetView showGridLines="0" tabSelected="1" zoomScale="110" zoomScaleNormal="110" zoomScalePageLayoutView="0" workbookViewId="0" topLeftCell="AE1">
      <selection activeCell="AM3" sqref="AM3"/>
    </sheetView>
  </sheetViews>
  <sheetFormatPr defaultColWidth="9.140625" defaultRowHeight="15"/>
  <cols>
    <col min="2" max="11" width="2.140625" style="0" customWidth="1"/>
    <col min="12" max="13" width="18.57421875" style="0" customWidth="1"/>
    <col min="14" max="21" width="12.140625" style="0" bestFit="1" customWidth="1"/>
    <col min="23" max="23" width="11.7109375" style="0" customWidth="1"/>
    <col min="31" max="31" width="20.7109375" style="0" bestFit="1" customWidth="1"/>
    <col min="32" max="32" width="12.140625" style="0" bestFit="1" customWidth="1"/>
    <col min="37" max="37" width="7.7109375" style="0" customWidth="1"/>
    <col min="38" max="38" width="32.28125" style="0" customWidth="1"/>
    <col min="39" max="45" width="10.7109375" style="0" customWidth="1"/>
  </cols>
  <sheetData>
    <row r="1" spans="2:7" ht="20.25" thickBot="1">
      <c r="B1" s="53" t="s">
        <v>10</v>
      </c>
      <c r="C1" s="53"/>
      <c r="D1" s="53"/>
      <c r="E1" s="53"/>
      <c r="F1" s="53"/>
      <c r="G1" s="53"/>
    </row>
    <row r="2" spans="2:7" ht="18.75" thickBot="1" thickTop="1">
      <c r="B2" s="52" t="s">
        <v>12</v>
      </c>
      <c r="C2" s="52"/>
      <c r="D2" s="52"/>
      <c r="E2" s="52"/>
      <c r="F2" s="52"/>
      <c r="G2" s="52"/>
    </row>
    <row r="3" spans="2:46" ht="15.75" thickTop="1">
      <c r="B3" s="51" t="s">
        <v>9</v>
      </c>
      <c r="AM3" s="59" t="str">
        <f>N7</f>
        <v>2011 (A)</v>
      </c>
      <c r="AN3" s="59" t="str">
        <f aca="true" t="shared" si="0" ref="AN3:AT3">O7</f>
        <v>2012 (A)</v>
      </c>
      <c r="AO3" s="59" t="str">
        <f t="shared" si="0"/>
        <v>2013 (B)</v>
      </c>
      <c r="AP3" s="59" t="str">
        <f t="shared" si="0"/>
        <v>2014 (F)</v>
      </c>
      <c r="AQ3" s="59" t="str">
        <f t="shared" si="0"/>
        <v>2015 (F)</v>
      </c>
      <c r="AR3" s="59" t="str">
        <f t="shared" si="0"/>
        <v>2016 (F)</v>
      </c>
      <c r="AS3" s="59" t="str">
        <f t="shared" si="0"/>
        <v>2017 (F)</v>
      </c>
      <c r="AT3" s="59" t="str">
        <f t="shared" si="0"/>
        <v>2018 (F)</v>
      </c>
    </row>
    <row r="4" spans="8:46" ht="15">
      <c r="H4" s="50"/>
      <c r="I4" s="50"/>
      <c r="J4" s="50"/>
      <c r="K4" s="50"/>
      <c r="L4" s="50"/>
      <c r="M4" s="50"/>
      <c r="N4" s="50"/>
      <c r="O4" s="50"/>
      <c r="P4" s="50"/>
      <c r="Q4" s="50"/>
      <c r="S4" s="50"/>
      <c r="W4" t="str">
        <f>AL4&amp;" ($ '000s)"</f>
        <v>EBITDA ($ '000s)</v>
      </c>
      <c r="AL4" t="str">
        <f>B16</f>
        <v>EBITDA</v>
      </c>
      <c r="AM4" s="44">
        <f>INDEX($B$7:$U$16,MATCH($AL$4,$B$7:$B$16,0),MATCH(AM$3,$B$7:$U$7,0))</f>
        <v>224384</v>
      </c>
      <c r="AN4" s="44">
        <f aca="true" t="shared" si="1" ref="AN4:AT4">INDEX($B$7:$U$16,MATCH($AL$4,$B$7:$B$16,0),MATCH(AN$3,$B$7:$U$7,0))</f>
        <v>381146</v>
      </c>
      <c r="AO4" s="44">
        <f t="shared" si="1"/>
        <v>385107.5700000003</v>
      </c>
      <c r="AP4" s="44">
        <f t="shared" si="1"/>
        <v>384093.26105999993</v>
      </c>
      <c r="AQ4" s="44">
        <f t="shared" si="1"/>
        <v>382706.90012877015</v>
      </c>
      <c r="AR4" s="44">
        <f t="shared" si="1"/>
        <v>380927.41488331906</v>
      </c>
      <c r="AS4" s="44">
        <f t="shared" si="1"/>
        <v>378732.7973807852</v>
      </c>
      <c r="AT4" s="44">
        <f t="shared" si="1"/>
        <v>376100.0663125417</v>
      </c>
    </row>
    <row r="5" spans="2:21" ht="15">
      <c r="B5" s="63" t="s">
        <v>14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2:39" ht="15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AL6" t="s">
        <v>53</v>
      </c>
      <c r="AM6" s="60" t="s">
        <v>8</v>
      </c>
    </row>
    <row r="7" spans="2:39" ht="15.75">
      <c r="B7" s="33" t="s">
        <v>13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49" t="s">
        <v>15</v>
      </c>
      <c r="O7" s="49" t="s">
        <v>16</v>
      </c>
      <c r="P7" s="49" t="s">
        <v>17</v>
      </c>
      <c r="Q7" s="49" t="s">
        <v>18</v>
      </c>
      <c r="R7" s="49" t="s">
        <v>19</v>
      </c>
      <c r="S7" s="49" t="s">
        <v>20</v>
      </c>
      <c r="T7" s="49" t="s">
        <v>21</v>
      </c>
      <c r="U7" s="49" t="s">
        <v>8</v>
      </c>
      <c r="AL7" s="48" t="str">
        <f>W4&amp;" - Waterfall Chart - "&amp;AM6</f>
        <v>EBITDA ($ '000s) - Waterfall Chart - 2018 (F)</v>
      </c>
      <c r="AM7" s="57"/>
    </row>
    <row r="8" spans="2:44" ht="30"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AL8" s="47" t="s">
        <v>54</v>
      </c>
      <c r="AM8" s="58" t="s">
        <v>55</v>
      </c>
      <c r="AN8" s="55" t="str">
        <f>AL4&amp;" - "&amp;AL9</f>
        <v>EBITDA - 2017 (F)</v>
      </c>
      <c r="AO8" s="55" t="s">
        <v>56</v>
      </c>
      <c r="AP8" s="55" t="str">
        <f>AL4&amp;" Accretive"</f>
        <v>EBITDA Accretive</v>
      </c>
      <c r="AQ8" s="55" t="str">
        <f>AL4&amp;" Dilutive"</f>
        <v>EBITDA Dilutive</v>
      </c>
      <c r="AR8" s="55" t="str">
        <f>AL4&amp;" - "&amp;AL14</f>
        <v>EBITDA - 2018 (F)</v>
      </c>
    </row>
    <row r="9" spans="2:40" ht="15.75">
      <c r="B9" s="36" t="s">
        <v>22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35">
        <v>2115905</v>
      </c>
      <c r="O9" s="35">
        <v>2248918</v>
      </c>
      <c r="P9" s="35">
        <v>2312583.12</v>
      </c>
      <c r="Q9" s="35">
        <v>2373220.2735599997</v>
      </c>
      <c r="R9" s="35">
        <v>2435497.9217725196</v>
      </c>
      <c r="S9" s="35">
        <v>2499461.800083506</v>
      </c>
      <c r="T9" s="35">
        <v>2565158.9558068574</v>
      </c>
      <c r="U9" s="35">
        <v>2632637.786771002</v>
      </c>
      <c r="AL9" t="str">
        <f ca="1">OFFSET(INDEX($AM$3:$CA$3,,MATCH($AM$6,$AM$3:$CA$3,0)),,-1)</f>
        <v>2017 (F)</v>
      </c>
      <c r="AM9" s="61">
        <f>AN9</f>
        <v>378732.7973807852</v>
      </c>
      <c r="AN9" s="54">
        <f>INDEX($B$7:$U$16,MATCH($AL$4,$B$7:$B$16,0),MATCH($AL$9,$B$7:$U$7,0))</f>
        <v>378732.7973807852</v>
      </c>
    </row>
    <row r="10" spans="2:43" ht="15.75">
      <c r="B10" s="36" t="s">
        <v>23</v>
      </c>
      <c r="C10" s="31"/>
      <c r="D10" s="31"/>
      <c r="E10" s="31"/>
      <c r="F10" s="31"/>
      <c r="G10" s="31"/>
      <c r="H10" s="31"/>
      <c r="I10" s="31"/>
      <c r="J10" s="31"/>
      <c r="K10" s="31"/>
      <c r="L10" s="39"/>
      <c r="M10" s="31"/>
      <c r="N10" s="35">
        <v>-1332874</v>
      </c>
      <c r="O10" s="35">
        <v>-1300925</v>
      </c>
      <c r="P10" s="35">
        <v>-1346457.3749999998</v>
      </c>
      <c r="Q10" s="35">
        <v>-1393583.3831249997</v>
      </c>
      <c r="R10" s="35">
        <v>-1442358.8015343745</v>
      </c>
      <c r="S10" s="35">
        <v>-1492841.3595880775</v>
      </c>
      <c r="T10" s="35">
        <v>-1545090.8071736603</v>
      </c>
      <c r="U10" s="35">
        <v>-1599168.9854247384</v>
      </c>
      <c r="AL10" t="str">
        <f>B9</f>
        <v>Net revenue</v>
      </c>
      <c r="AM10" s="62">
        <f>INDEX($B$7:$U$16,MATCH($AL$10,$B$7:$B$16,0),MATCH($AM$6,$B$7:$U$7,0))-AM9</f>
        <v>2253904.989390217</v>
      </c>
      <c r="AO10" s="46">
        <f>MIN(SUM(AM$9:AM9),SUM(AM$9:AM10))</f>
        <v>378732.7973807852</v>
      </c>
      <c r="AP10" s="46">
        <f>MAX(AM10,0)</f>
        <v>2253904.989390217</v>
      </c>
      <c r="AQ10" s="46">
        <f>-MIN(AM10,0)</f>
        <v>0</v>
      </c>
    </row>
    <row r="11" spans="2:43" ht="15.75">
      <c r="B11" s="33" t="s">
        <v>24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8">
        <f aca="true" t="shared" si="2" ref="N11:U11">SUM(N9:N10)</f>
        <v>783031</v>
      </c>
      <c r="O11" s="38">
        <f t="shared" si="2"/>
        <v>947993</v>
      </c>
      <c r="P11" s="38">
        <f t="shared" si="2"/>
        <v>966125.7450000003</v>
      </c>
      <c r="Q11" s="38">
        <f t="shared" si="2"/>
        <v>979636.890435</v>
      </c>
      <c r="R11" s="38">
        <f t="shared" si="2"/>
        <v>993139.1202381451</v>
      </c>
      <c r="S11" s="38">
        <f t="shared" si="2"/>
        <v>1006620.4404954284</v>
      </c>
      <c r="T11" s="38">
        <f t="shared" si="2"/>
        <v>1020068.1486331972</v>
      </c>
      <c r="U11" s="38">
        <f t="shared" si="2"/>
        <v>1033468.8013462638</v>
      </c>
      <c r="AL11" t="str">
        <f>B10</f>
        <v>Cost of sales</v>
      </c>
      <c r="AM11" s="54">
        <f>INDEX($B$7:$U$16,MATCH($AL11,$B$7:$B$16,0),MATCH($AM$6,$B$7:$U$7,0))</f>
        <v>-1599168.9854247384</v>
      </c>
      <c r="AO11" s="46">
        <f>MIN(SUM(AM$9:AM10),SUM(AM$9:AM11))</f>
        <v>1033468.8013462638</v>
      </c>
      <c r="AP11" s="46">
        <f>MAX(AM11,0)</f>
        <v>0</v>
      </c>
      <c r="AQ11" s="46">
        <f>-MIN(AM11,0)</f>
        <v>1599168.9854247384</v>
      </c>
    </row>
    <row r="12" spans="2:43" ht="15.75">
      <c r="B12" s="42" t="str">
        <f>B11&amp;" Margin"</f>
        <v>Gross profit Margin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45">
        <f aca="true" t="shared" si="3" ref="N12:U12">N11/N9</f>
        <v>0.37006907209917267</v>
      </c>
      <c r="O12" s="45">
        <f t="shared" si="3"/>
        <v>0.42153293272587083</v>
      </c>
      <c r="P12" s="45">
        <f t="shared" si="3"/>
        <v>0.41776908974411275</v>
      </c>
      <c r="Q12" s="45">
        <f t="shared" si="3"/>
        <v>0.4127880169190847</v>
      </c>
      <c r="R12" s="45">
        <f t="shared" si="3"/>
        <v>0.4077766239748433</v>
      </c>
      <c r="S12" s="45">
        <f t="shared" si="3"/>
        <v>0.40273487694902865</v>
      </c>
      <c r="T12" s="45">
        <f t="shared" si="3"/>
        <v>0.3976627437937233</v>
      </c>
      <c r="U12" s="45">
        <f t="shared" si="3"/>
        <v>0.39256019439493034</v>
      </c>
      <c r="AL12" t="str">
        <f>B14</f>
        <v>Selling and marketing expenses</v>
      </c>
      <c r="AM12" s="54">
        <f>INDEX($B$7:$U$16,MATCH($AL12,$B$7:$B$16,0),MATCH($AM$6,$B$7:$U$7,0))</f>
        <v>-473546.8910062151</v>
      </c>
      <c r="AO12" s="46">
        <f>MIN(SUM(AM$9:AM11),SUM(AM$9:AM12))</f>
        <v>559921.9103400487</v>
      </c>
      <c r="AP12" s="46">
        <f>MAX(AM12,0)</f>
        <v>0</v>
      </c>
      <c r="AQ12" s="46">
        <f>-MIN(AM12,0)</f>
        <v>473546.8910062151</v>
      </c>
    </row>
    <row r="13" spans="2:43" ht="15.75" customHeight="1">
      <c r="B13" s="24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43"/>
      <c r="O13" s="43"/>
      <c r="P13" s="43"/>
      <c r="Q13" s="43"/>
      <c r="R13" s="43"/>
      <c r="S13" s="43"/>
      <c r="T13" s="43"/>
      <c r="U13" s="43"/>
      <c r="AL13" t="str">
        <f>B15</f>
        <v>General and administrative expenses</v>
      </c>
      <c r="AM13" s="54">
        <f>INDEX($B$7:$U$16,MATCH($AL13,$B$7:$B$16,0),MATCH($AM$6,$B$7:$U$7,0))</f>
        <v>-183821.844027507</v>
      </c>
      <c r="AO13" s="46">
        <f>MIN(SUM(AM$9:AM12),SUM(AM$9:AM13))</f>
        <v>376100.0663125417</v>
      </c>
      <c r="AP13" s="46">
        <f>MAX(AM13,0)</f>
        <v>0</v>
      </c>
      <c r="AQ13" s="46">
        <f>-MIN(AM13,0)</f>
        <v>183821.844027507</v>
      </c>
    </row>
    <row r="14" spans="2:44" ht="15.75">
      <c r="B14" s="36" t="s">
        <v>25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35">
        <v>-406007</v>
      </c>
      <c r="O14" s="35">
        <v>-408338</v>
      </c>
      <c r="P14" s="35">
        <v>-418546.45</v>
      </c>
      <c r="Q14" s="35">
        <v>-429010.11125</v>
      </c>
      <c r="R14" s="35">
        <v>-439735.36403124995</v>
      </c>
      <c r="S14" s="35">
        <v>-450728.7481320311</v>
      </c>
      <c r="T14" s="35">
        <v>-461996.9668353319</v>
      </c>
      <c r="U14" s="35">
        <v>-473546.8910062151</v>
      </c>
      <c r="AL14" t="str">
        <f>AM6</f>
        <v>2018 (F)</v>
      </c>
      <c r="AM14" s="61">
        <f>SUM(AM9:AM13)</f>
        <v>376100.0663125417</v>
      </c>
      <c r="AP14" s="46"/>
      <c r="AQ14" s="46"/>
      <c r="AR14" s="54">
        <f>INDEX($B$7:$U$16,MATCH($AL$4,$B$7:$B$16,0),MATCH($AL$14,$B$7:$U$7,0))</f>
        <v>376100.0663125417</v>
      </c>
    </row>
    <row r="15" spans="2:21" ht="15.75">
      <c r="B15" s="36" t="s">
        <v>26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35">
        <v>-152640.00000000003</v>
      </c>
      <c r="O15" s="35">
        <v>-158509</v>
      </c>
      <c r="P15" s="35">
        <v>-162471.725</v>
      </c>
      <c r="Q15" s="35">
        <v>-166533.518125</v>
      </c>
      <c r="R15" s="35">
        <v>-170696.85607812495</v>
      </c>
      <c r="S15" s="35">
        <v>-174964.27748007808</v>
      </c>
      <c r="T15" s="35">
        <v>-179338.38441708003</v>
      </c>
      <c r="U15" s="35">
        <v>-183821.844027507</v>
      </c>
    </row>
    <row r="16" spans="2:21" ht="15.75">
      <c r="B16" s="33" t="s">
        <v>27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8">
        <f aca="true" t="shared" si="4" ref="N16:U16">SUM(N14:N15,N9:N10)</f>
        <v>224384</v>
      </c>
      <c r="O16" s="38">
        <f t="shared" si="4"/>
        <v>381146</v>
      </c>
      <c r="P16" s="38">
        <f t="shared" si="4"/>
        <v>385107.5700000003</v>
      </c>
      <c r="Q16" s="38">
        <f t="shared" si="4"/>
        <v>384093.26105999993</v>
      </c>
      <c r="R16" s="38">
        <f t="shared" si="4"/>
        <v>382706.90012877015</v>
      </c>
      <c r="S16" s="38">
        <f t="shared" si="4"/>
        <v>380927.41488331906</v>
      </c>
      <c r="T16" s="38">
        <f t="shared" si="4"/>
        <v>378732.7973807852</v>
      </c>
      <c r="U16" s="38">
        <f t="shared" si="4"/>
        <v>376100.0663125417</v>
      </c>
    </row>
    <row r="17" spans="2:39" ht="15.75">
      <c r="B17" s="42" t="str">
        <f>B16&amp;" Margin"</f>
        <v>EBITDA Margin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45">
        <f aca="true" t="shared" si="5" ref="N17:U17">N16/N9</f>
        <v>0.10604634896179176</v>
      </c>
      <c r="O17" s="45">
        <f t="shared" si="5"/>
        <v>0.16947972313797124</v>
      </c>
      <c r="P17" s="45">
        <f t="shared" si="5"/>
        <v>0.16652701763212743</v>
      </c>
      <c r="Q17" s="45">
        <f t="shared" si="5"/>
        <v>0.16184475808637547</v>
      </c>
      <c r="R17" s="45">
        <f t="shared" si="5"/>
        <v>0.15713702594754902</v>
      </c>
      <c r="S17" s="45">
        <f t="shared" si="5"/>
        <v>0.1524037754330122</v>
      </c>
      <c r="T17" s="45">
        <f t="shared" si="5"/>
        <v>0.14764496232228883</v>
      </c>
      <c r="U17" s="45">
        <f t="shared" si="5"/>
        <v>0.14286054397701178</v>
      </c>
      <c r="AL17" t="str">
        <f>"Check "&amp;AR8</f>
        <v>Check EBITDA - 2018 (F)</v>
      </c>
      <c r="AM17" s="56" t="str">
        <f>IF(ROUND(AM14,2)&lt;&gt;ROUND(INDEX($B$7:$U$16,MATCH($AL$4,$B$7:$B$16,0),MATCH($AM$6,$B$7:$U$7,0)),2),"Error","OK")</f>
        <v>OK</v>
      </c>
    </row>
    <row r="18" spans="2:21" ht="5.25" customHeight="1">
      <c r="B18" s="24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43"/>
      <c r="O18" s="43"/>
      <c r="P18" s="43"/>
      <c r="Q18" s="43"/>
      <c r="R18" s="43"/>
      <c r="S18" s="43"/>
      <c r="T18" s="43"/>
      <c r="U18" s="43"/>
    </row>
    <row r="19" spans="2:21" ht="15.75">
      <c r="B19" s="36" t="s">
        <v>28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5">
        <v>-183408</v>
      </c>
      <c r="O19" s="35">
        <v>-125659</v>
      </c>
      <c r="P19" s="35">
        <v>-16850</v>
      </c>
      <c r="Q19" s="35">
        <v>-3850</v>
      </c>
      <c r="R19" s="35">
        <v>-6050</v>
      </c>
      <c r="S19" s="35">
        <v>-8350</v>
      </c>
      <c r="T19" s="35">
        <v>-10750</v>
      </c>
      <c r="U19" s="35">
        <v>-8850</v>
      </c>
    </row>
    <row r="20" spans="2:21" ht="15.75">
      <c r="B20" s="33" t="s">
        <v>29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8">
        <f aca="true" t="shared" si="6" ref="N20:U20">SUM(N16,N19)</f>
        <v>40976</v>
      </c>
      <c r="O20" s="38">
        <f t="shared" si="6"/>
        <v>255487</v>
      </c>
      <c r="P20" s="38">
        <f t="shared" si="6"/>
        <v>368257.5700000003</v>
      </c>
      <c r="Q20" s="38">
        <f t="shared" si="6"/>
        <v>380243.26105999993</v>
      </c>
      <c r="R20" s="38">
        <f t="shared" si="6"/>
        <v>376656.90012877015</v>
      </c>
      <c r="S20" s="38">
        <f t="shared" si="6"/>
        <v>372577.41488331906</v>
      </c>
      <c r="T20" s="38">
        <f t="shared" si="6"/>
        <v>367982.7973807852</v>
      </c>
      <c r="U20" s="38">
        <f t="shared" si="6"/>
        <v>367250.0663125417</v>
      </c>
    </row>
    <row r="21" spans="2:21" ht="5.25" customHeight="1">
      <c r="B21" s="4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43"/>
      <c r="O21" s="43"/>
      <c r="P21" s="43"/>
      <c r="Q21" s="43"/>
      <c r="R21" s="43"/>
      <c r="S21" s="43"/>
      <c r="T21" s="43"/>
      <c r="U21" s="43"/>
    </row>
    <row r="22" spans="2:21" ht="15.75">
      <c r="B22" s="42" t="str">
        <f>B20&amp;" Margin"</f>
        <v>EBIT Margin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45">
        <f aca="true" t="shared" si="7" ref="N22:U22">N20/N9</f>
        <v>0.01936570876291705</v>
      </c>
      <c r="O22" s="45">
        <f t="shared" si="7"/>
        <v>0.1136044088757349</v>
      </c>
      <c r="P22" s="45">
        <f t="shared" si="7"/>
        <v>0.15924079304012229</v>
      </c>
      <c r="Q22" s="45">
        <f t="shared" si="7"/>
        <v>0.16022248979426082</v>
      </c>
      <c r="R22" s="45">
        <f t="shared" si="7"/>
        <v>0.154652934318517</v>
      </c>
      <c r="S22" s="45">
        <f t="shared" si="7"/>
        <v>0.14906305624309657</v>
      </c>
      <c r="T22" s="45">
        <f t="shared" si="7"/>
        <v>0.14345418889062106</v>
      </c>
      <c r="U22" s="45">
        <f t="shared" si="7"/>
        <v>0.13949889656601158</v>
      </c>
    </row>
    <row r="23" spans="2:21" ht="5.2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2:21" ht="15.75">
      <c r="B24" s="36" t="s">
        <v>30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35">
        <v>-49110</v>
      </c>
      <c r="O24" s="35">
        <v>-36264</v>
      </c>
      <c r="P24" s="35">
        <v>-36626.64</v>
      </c>
      <c r="Q24" s="35">
        <v>-36992.9064</v>
      </c>
      <c r="R24" s="35">
        <v>-37362.835464</v>
      </c>
      <c r="S24" s="35">
        <v>-37736.46381864</v>
      </c>
      <c r="T24" s="35">
        <v>-38113.828456826406</v>
      </c>
      <c r="U24" s="35">
        <v>-38494.96674139467</v>
      </c>
    </row>
    <row r="25" spans="2:45" ht="15.75">
      <c r="B25" s="36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35">
        <v>-4444</v>
      </c>
      <c r="O25" s="35">
        <v>2917</v>
      </c>
      <c r="P25" s="35">
        <v>2917</v>
      </c>
      <c r="Q25" s="35">
        <v>2917</v>
      </c>
      <c r="R25" s="35">
        <v>2917</v>
      </c>
      <c r="S25" s="35">
        <v>2917</v>
      </c>
      <c r="T25" s="35">
        <v>2917</v>
      </c>
      <c r="U25" s="35">
        <v>2917</v>
      </c>
      <c r="AL25" s="44"/>
      <c r="AM25" s="44"/>
      <c r="AN25" s="44"/>
      <c r="AO25" s="44"/>
      <c r="AP25" s="44"/>
      <c r="AQ25" s="44"/>
      <c r="AR25" s="44"/>
      <c r="AS25" s="44"/>
    </row>
    <row r="26" spans="2:21" ht="15.75">
      <c r="B26" s="33" t="s">
        <v>32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8">
        <f aca="true" t="shared" si="8" ref="N26:U26">SUM(N20,N24:N25)</f>
        <v>-12578</v>
      </c>
      <c r="O26" s="38">
        <f t="shared" si="8"/>
        <v>222140</v>
      </c>
      <c r="P26" s="38">
        <f t="shared" si="8"/>
        <v>334547.9300000003</v>
      </c>
      <c r="Q26" s="38">
        <f t="shared" si="8"/>
        <v>346167.35465999995</v>
      </c>
      <c r="R26" s="38">
        <f t="shared" si="8"/>
        <v>342211.06466477015</v>
      </c>
      <c r="S26" s="38">
        <f t="shared" si="8"/>
        <v>337757.9510646791</v>
      </c>
      <c r="T26" s="38">
        <f t="shared" si="8"/>
        <v>332785.96892395883</v>
      </c>
      <c r="U26" s="38">
        <f t="shared" si="8"/>
        <v>331672.09957114706</v>
      </c>
    </row>
    <row r="27" spans="2:21" ht="15.75">
      <c r="B27" s="36" t="s">
        <v>33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35">
        <v>-64373</v>
      </c>
      <c r="O27" s="35">
        <v>-55481</v>
      </c>
      <c r="P27" s="35">
        <v>-86982.4718</v>
      </c>
      <c r="Q27" s="35">
        <v>-90003.52231160001</v>
      </c>
      <c r="R27" s="35">
        <v>-88974.8870138402</v>
      </c>
      <c r="S27" s="35">
        <v>-87817.07757982651</v>
      </c>
      <c r="T27" s="35">
        <v>-86524.36232626945</v>
      </c>
      <c r="U27" s="35">
        <v>-86234.75639859874</v>
      </c>
    </row>
    <row r="28" spans="2:21" ht="15.75">
      <c r="B28" s="33" t="s">
        <v>34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8">
        <f aca="true" t="shared" si="9" ref="N28:U28">SUM(N26:N27)</f>
        <v>-76951</v>
      </c>
      <c r="O28" s="38">
        <f t="shared" si="9"/>
        <v>166659</v>
      </c>
      <c r="P28" s="38">
        <f t="shared" si="9"/>
        <v>247565.45820000028</v>
      </c>
      <c r="Q28" s="38">
        <f t="shared" si="9"/>
        <v>256163.83234839994</v>
      </c>
      <c r="R28" s="38">
        <f t="shared" si="9"/>
        <v>253236.17765092995</v>
      </c>
      <c r="S28" s="38">
        <f t="shared" si="9"/>
        <v>249940.87348485255</v>
      </c>
      <c r="T28" s="38">
        <f t="shared" si="9"/>
        <v>246261.6065976894</v>
      </c>
      <c r="U28" s="38">
        <f t="shared" si="9"/>
        <v>245437.34317254834</v>
      </c>
    </row>
    <row r="29" spans="2:21" ht="5.25" customHeight="1">
      <c r="B29" s="4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43"/>
      <c r="O29" s="43"/>
      <c r="P29" s="43"/>
      <c r="Q29" s="43"/>
      <c r="R29" s="43"/>
      <c r="S29" s="43"/>
      <c r="T29" s="43"/>
      <c r="U29" s="43"/>
    </row>
    <row r="30" spans="2:21" ht="15.75">
      <c r="B30" s="42" t="s">
        <v>7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1">
        <f aca="true" t="shared" si="10" ref="N30:U30">N28/N9</f>
        <v>-0.03636788986273013</v>
      </c>
      <c r="O30" s="41">
        <f t="shared" si="10"/>
        <v>0.07410630356464754</v>
      </c>
      <c r="P30" s="41">
        <f t="shared" si="10"/>
        <v>0.1070514854402294</v>
      </c>
      <c r="Q30" s="41">
        <f t="shared" si="10"/>
        <v>0.10793934098840978</v>
      </c>
      <c r="R30" s="41">
        <f t="shared" si="10"/>
        <v>0.10397716844144478</v>
      </c>
      <c r="S30" s="41">
        <f t="shared" si="10"/>
        <v>0.09999787693354711</v>
      </c>
      <c r="T30" s="41">
        <f t="shared" si="10"/>
        <v>0.09600247424831772</v>
      </c>
      <c r="U30" s="41">
        <f t="shared" si="10"/>
        <v>0.09322867901002953</v>
      </c>
    </row>
    <row r="31" spans="2:21" ht="15">
      <c r="B31" s="4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6"/>
      <c r="O31" s="26"/>
      <c r="P31" s="26"/>
      <c r="Q31" s="26"/>
      <c r="R31" s="26"/>
      <c r="S31" s="26"/>
      <c r="T31" s="26"/>
      <c r="U31" s="26"/>
    </row>
    <row r="32" spans="2:21" ht="15">
      <c r="B32" s="65" t="s">
        <v>35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2:21" ht="1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ht="15.75">
      <c r="B34" s="33" t="str">
        <f>B7</f>
        <v>Year Ending 31 December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7" t="str">
        <f aca="true" t="shared" si="11" ref="N34:U34">N7</f>
        <v>2011 (A)</v>
      </c>
      <c r="O34" s="37" t="str">
        <f t="shared" si="11"/>
        <v>2012 (A)</v>
      </c>
      <c r="P34" s="37" t="str">
        <f t="shared" si="11"/>
        <v>2013 (B)</v>
      </c>
      <c r="Q34" s="37" t="str">
        <f t="shared" si="11"/>
        <v>2014 (F)</v>
      </c>
      <c r="R34" s="37" t="str">
        <f t="shared" si="11"/>
        <v>2015 (F)</v>
      </c>
      <c r="S34" s="37" t="str">
        <f t="shared" si="11"/>
        <v>2016 (F)</v>
      </c>
      <c r="T34" s="37" t="str">
        <f t="shared" si="11"/>
        <v>2017 (F)</v>
      </c>
      <c r="U34" s="37" t="str">
        <f t="shared" si="11"/>
        <v>2018 (F)</v>
      </c>
    </row>
    <row r="35" spans="2:21" ht="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ht="15.75">
      <c r="B36" s="36" t="s">
        <v>36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35">
        <v>791136</v>
      </c>
      <c r="O36" s="35">
        <v>1011646</v>
      </c>
      <c r="P36" s="35">
        <v>994563.0394328767</v>
      </c>
      <c r="Q36" s="35">
        <v>1123029.178785387</v>
      </c>
      <c r="R36" s="35">
        <v>1291797.4674995933</v>
      </c>
      <c r="S36" s="35">
        <v>1437140.372049746</v>
      </c>
      <c r="T36" s="35">
        <v>1604203.2726436888</v>
      </c>
      <c r="U36" s="35">
        <v>1805937.5902232716</v>
      </c>
    </row>
    <row r="37" spans="2:21" ht="15.75">
      <c r="B37" s="36" t="s">
        <v>37</v>
      </c>
      <c r="C37" s="31"/>
      <c r="D37" s="31"/>
      <c r="E37" s="31"/>
      <c r="F37" s="31"/>
      <c r="G37" s="31"/>
      <c r="H37" s="31"/>
      <c r="I37" s="31"/>
      <c r="J37" s="31"/>
      <c r="K37" s="31"/>
      <c r="L37" s="39"/>
      <c r="M37" s="31"/>
      <c r="N37" s="35">
        <v>4140597</v>
      </c>
      <c r="O37" s="35">
        <v>4234935</v>
      </c>
      <c r="P37" s="35">
        <v>4291869.55</v>
      </c>
      <c r="Q37" s="35">
        <v>4331522.6355</v>
      </c>
      <c r="R37" s="35">
        <v>4348525.751855</v>
      </c>
      <c r="S37" s="35">
        <v>4360379.39937355</v>
      </c>
      <c r="T37" s="35">
        <v>4379184.083367285</v>
      </c>
      <c r="U37" s="35">
        <v>4392240.314200958</v>
      </c>
    </row>
    <row r="38" spans="2:21" ht="15.75">
      <c r="B38" s="33" t="s">
        <v>38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8">
        <f aca="true" t="shared" si="12" ref="N38:U38">SUM(N36:N37)</f>
        <v>4931733</v>
      </c>
      <c r="O38" s="38">
        <f t="shared" si="12"/>
        <v>5246581</v>
      </c>
      <c r="P38" s="38">
        <f t="shared" si="12"/>
        <v>5286432.589432877</v>
      </c>
      <c r="Q38" s="38">
        <f t="shared" si="12"/>
        <v>5454551.814285386</v>
      </c>
      <c r="R38" s="38">
        <f t="shared" si="12"/>
        <v>5640323.219354593</v>
      </c>
      <c r="S38" s="38">
        <f t="shared" si="12"/>
        <v>5797519.771423296</v>
      </c>
      <c r="T38" s="38">
        <f t="shared" si="12"/>
        <v>5983387.356010974</v>
      </c>
      <c r="U38" s="38">
        <f t="shared" si="12"/>
        <v>6198177.90442423</v>
      </c>
    </row>
    <row r="39" spans="2:21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6"/>
      <c r="O39" s="26"/>
      <c r="P39" s="26"/>
      <c r="Q39" s="26"/>
      <c r="R39" s="26"/>
      <c r="S39" s="26"/>
      <c r="T39" s="26"/>
      <c r="U39" s="26"/>
    </row>
    <row r="40" spans="2:21" ht="15.75">
      <c r="B40" s="36" t="s">
        <v>39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35">
        <v>2327025</v>
      </c>
      <c r="O40" s="35">
        <v>2161040</v>
      </c>
      <c r="P40" s="35">
        <v>2088739.4512328764</v>
      </c>
      <c r="Q40" s="35">
        <v>2116012.376936986</v>
      </c>
      <c r="R40" s="35">
        <v>2143768.3928872636</v>
      </c>
      <c r="S40" s="35">
        <v>2171147.147888433</v>
      </c>
      <c r="T40" s="35">
        <v>2200777.5130599155</v>
      </c>
      <c r="U40" s="35">
        <v>2230055.4293539315</v>
      </c>
    </row>
    <row r="41" spans="2:21" ht="15.75">
      <c r="B41" s="36" t="s">
        <v>40</v>
      </c>
      <c r="C41" s="31"/>
      <c r="D41" s="31"/>
      <c r="E41" s="31"/>
      <c r="F41" s="31"/>
      <c r="G41" s="31"/>
      <c r="H41" s="31"/>
      <c r="I41" s="31"/>
      <c r="J41" s="31"/>
      <c r="K41" s="31"/>
      <c r="L41" s="39"/>
      <c r="M41" s="31"/>
      <c r="N41" s="35">
        <v>1316514</v>
      </c>
      <c r="O41" s="35">
        <v>1760871</v>
      </c>
      <c r="P41" s="35">
        <v>1745548.4500000002</v>
      </c>
      <c r="Q41" s="35">
        <v>1755322.6745</v>
      </c>
      <c r="R41" s="35">
        <v>1765194.641245</v>
      </c>
      <c r="S41" s="35">
        <v>1775165.32765745</v>
      </c>
      <c r="T41" s="35">
        <v>1785235.7209340245</v>
      </c>
      <c r="U41" s="35">
        <v>1795406.818143365</v>
      </c>
    </row>
    <row r="42" spans="2:21" ht="15.75">
      <c r="B42" s="33" t="s">
        <v>41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8">
        <f aca="true" t="shared" si="13" ref="N42:U42">SUM(N40:N41)</f>
        <v>3643539</v>
      </c>
      <c r="O42" s="38">
        <f t="shared" si="13"/>
        <v>3921911</v>
      </c>
      <c r="P42" s="38">
        <f t="shared" si="13"/>
        <v>3834287.901232877</v>
      </c>
      <c r="Q42" s="38">
        <f t="shared" si="13"/>
        <v>3871335.051436986</v>
      </c>
      <c r="R42" s="38">
        <f t="shared" si="13"/>
        <v>3908963.0341322636</v>
      </c>
      <c r="S42" s="38">
        <f t="shared" si="13"/>
        <v>3946312.475545883</v>
      </c>
      <c r="T42" s="38">
        <f t="shared" si="13"/>
        <v>3986013.23399394</v>
      </c>
      <c r="U42" s="38">
        <f t="shared" si="13"/>
        <v>4025462.2474972964</v>
      </c>
    </row>
    <row r="43" spans="2:21" ht="1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6"/>
      <c r="O43" s="26"/>
      <c r="P43" s="26"/>
      <c r="Q43" s="26"/>
      <c r="R43" s="26"/>
      <c r="S43" s="26"/>
      <c r="T43" s="26"/>
      <c r="U43" s="26"/>
    </row>
    <row r="44" spans="2:21" ht="16.5" thickBot="1">
      <c r="B44" s="33" t="s">
        <v>42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32">
        <f aca="true" t="shared" si="14" ref="N44:U44">N38-N42</f>
        <v>1288194</v>
      </c>
      <c r="O44" s="32">
        <f t="shared" si="14"/>
        <v>1324670</v>
      </c>
      <c r="P44" s="32">
        <f t="shared" si="14"/>
        <v>1452144.6881999997</v>
      </c>
      <c r="Q44" s="32">
        <f t="shared" si="14"/>
        <v>1583216.7628484005</v>
      </c>
      <c r="R44" s="32">
        <f t="shared" si="14"/>
        <v>1731360.1852223296</v>
      </c>
      <c r="S44" s="32">
        <f t="shared" si="14"/>
        <v>1851207.295877413</v>
      </c>
      <c r="T44" s="32">
        <f t="shared" si="14"/>
        <v>1997374.1220170343</v>
      </c>
      <c r="U44" s="32">
        <f t="shared" si="14"/>
        <v>2172715.656926933</v>
      </c>
    </row>
    <row r="45" spans="2:21" ht="15.75" thickTop="1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6"/>
      <c r="O45" s="26"/>
      <c r="P45" s="26"/>
      <c r="Q45" s="26"/>
      <c r="R45" s="26"/>
      <c r="S45" s="26"/>
      <c r="T45" s="26"/>
      <c r="U45" s="26"/>
    </row>
    <row r="46" spans="2:21" ht="15.75">
      <c r="B46" s="36" t="s">
        <v>43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35">
        <v>1302248</v>
      </c>
      <c r="O46" s="35">
        <v>1334547</v>
      </c>
      <c r="P46" s="35">
        <v>1334547</v>
      </c>
      <c r="Q46" s="35">
        <v>1329547</v>
      </c>
      <c r="R46" s="35">
        <v>1344547</v>
      </c>
      <c r="S46" s="35">
        <v>1334547</v>
      </c>
      <c r="T46" s="35">
        <v>1354547</v>
      </c>
      <c r="U46" s="35">
        <v>1404547</v>
      </c>
    </row>
    <row r="47" spans="2:21" ht="15.75">
      <c r="B47" s="36" t="s">
        <v>44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35">
        <v>-14054</v>
      </c>
      <c r="O47" s="35">
        <v>-9877</v>
      </c>
      <c r="P47" s="35">
        <v>-9975.77</v>
      </c>
      <c r="Q47" s="35">
        <v>-10075.5277</v>
      </c>
      <c r="R47" s="35">
        <v>-10176.282977</v>
      </c>
      <c r="S47" s="35">
        <v>-10278.04580677</v>
      </c>
      <c r="T47" s="35">
        <v>-10380.8262648377</v>
      </c>
      <c r="U47" s="35">
        <v>-10484.634527486078</v>
      </c>
    </row>
    <row r="48" spans="2:21" ht="15.75">
      <c r="B48" s="36" t="s">
        <v>45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35">
        <v>0</v>
      </c>
      <c r="O48" s="35">
        <v>0</v>
      </c>
      <c r="P48" s="35">
        <v>127573.4582</v>
      </c>
      <c r="Q48" s="35">
        <v>263745.2905484</v>
      </c>
      <c r="R48" s="35">
        <v>396989.4681993298</v>
      </c>
      <c r="S48" s="35">
        <v>526938.3416841822</v>
      </c>
      <c r="T48" s="35">
        <v>653207.9482818717</v>
      </c>
      <c r="U48" s="35">
        <v>778653.2914544201</v>
      </c>
    </row>
    <row r="49" spans="2:21" ht="16.5" thickBot="1">
      <c r="B49" s="33" t="s">
        <v>46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32">
        <f aca="true" t="shared" si="15" ref="N49:U49">SUM(N46:N48)</f>
        <v>1288194</v>
      </c>
      <c r="O49" s="32">
        <f t="shared" si="15"/>
        <v>1324670</v>
      </c>
      <c r="P49" s="32">
        <f t="shared" si="15"/>
        <v>1452144.6882</v>
      </c>
      <c r="Q49" s="32">
        <f t="shared" si="15"/>
        <v>1583216.7628484</v>
      </c>
      <c r="R49" s="32">
        <f t="shared" si="15"/>
        <v>1731360.1852223296</v>
      </c>
      <c r="S49" s="32">
        <f t="shared" si="15"/>
        <v>1851207.2958774122</v>
      </c>
      <c r="T49" s="32">
        <f t="shared" si="15"/>
        <v>1997374.1220170339</v>
      </c>
      <c r="U49" s="32">
        <f t="shared" si="15"/>
        <v>2172715.656926934</v>
      </c>
    </row>
    <row r="50" spans="2:21" ht="15.75" thickTop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2:21" ht="15">
      <c r="B51" s="65" t="s">
        <v>11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</row>
    <row r="52" spans="2:21" ht="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ht="15.75">
      <c r="B53" s="33" t="str">
        <f>B34</f>
        <v>Year Ending 31 December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37" t="str">
        <f aca="true" t="shared" si="16" ref="N53:U53">N34</f>
        <v>2011 (A)</v>
      </c>
      <c r="O53" s="37" t="str">
        <f t="shared" si="16"/>
        <v>2012 (A)</v>
      </c>
      <c r="P53" s="37" t="str">
        <f t="shared" si="16"/>
        <v>2013 (B)</v>
      </c>
      <c r="Q53" s="37" t="str">
        <f t="shared" si="16"/>
        <v>2014 (F)</v>
      </c>
      <c r="R53" s="37" t="str">
        <f t="shared" si="16"/>
        <v>2015 (F)</v>
      </c>
      <c r="S53" s="37" t="str">
        <f t="shared" si="16"/>
        <v>2016 (F)</v>
      </c>
      <c r="T53" s="37" t="str">
        <f t="shared" si="16"/>
        <v>2017 (F)</v>
      </c>
      <c r="U53" s="37" t="str">
        <f t="shared" si="16"/>
        <v>2018 (F)</v>
      </c>
    </row>
    <row r="54" spans="2:21" ht="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2:21" ht="15.75">
      <c r="B55" s="36" t="s">
        <v>47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35">
        <v>2076641</v>
      </c>
      <c r="O55" s="35">
        <v>2245668</v>
      </c>
      <c r="P55" s="35">
        <v>2350184.690958904</v>
      </c>
      <c r="Q55" s="35">
        <v>2370585.14158126</v>
      </c>
      <c r="R55" s="35">
        <v>2432956.839356893</v>
      </c>
      <c r="S55" s="35">
        <v>2504823.782851594</v>
      </c>
      <c r="T55" s="35">
        <v>2569080.811448105</v>
      </c>
      <c r="U55" s="35">
        <v>2638004.3973362045</v>
      </c>
    </row>
    <row r="56" spans="2:21" ht="15.75">
      <c r="B56" s="36" t="s">
        <v>48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35">
        <v>-1833025</v>
      </c>
      <c r="O56" s="35">
        <v>-1869355</v>
      </c>
      <c r="P56" s="35">
        <v>-2017581.0287671231</v>
      </c>
      <c r="Q56" s="35">
        <v>-1979837.06609589</v>
      </c>
      <c r="R56" s="35">
        <v>-2043197.8147864724</v>
      </c>
      <c r="S56" s="35">
        <v>-2109500.0673829466</v>
      </c>
      <c r="T56" s="35">
        <v>-2175323.6748103593</v>
      </c>
      <c r="U56" s="35">
        <v>-2245972.964535772</v>
      </c>
    </row>
    <row r="57" spans="2:21" ht="15.75">
      <c r="B57" s="36" t="s">
        <v>6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35">
        <v>-1075</v>
      </c>
      <c r="O57" s="35">
        <v>-18870</v>
      </c>
      <c r="P57" s="35">
        <v>-272356.86755342473</v>
      </c>
      <c r="Q57" s="35">
        <v>-113396.60876296961</v>
      </c>
      <c r="R57" s="35">
        <v>-112649.33766850806</v>
      </c>
      <c r="S57" s="35">
        <v>-111365.7419097129</v>
      </c>
      <c r="T57" s="35">
        <v>-111633.63604253579</v>
      </c>
      <c r="U57" s="35">
        <v>-111238.9019815372</v>
      </c>
    </row>
    <row r="58" spans="2:21" ht="15.75">
      <c r="B58" s="33" t="s">
        <v>49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34">
        <f aca="true" t="shared" si="17" ref="N58:U58">SUM(N55:N57)</f>
        <v>242541</v>
      </c>
      <c r="O58" s="34">
        <f t="shared" si="17"/>
        <v>357443</v>
      </c>
      <c r="P58" s="34">
        <f t="shared" si="17"/>
        <v>60246.79463835625</v>
      </c>
      <c r="Q58" s="34">
        <f t="shared" si="17"/>
        <v>277351.4667224005</v>
      </c>
      <c r="R58" s="34">
        <f t="shared" si="17"/>
        <v>277109.6869019128</v>
      </c>
      <c r="S58" s="34">
        <f t="shared" si="17"/>
        <v>283957.9735589345</v>
      </c>
      <c r="T58" s="34">
        <f t="shared" si="17"/>
        <v>282123.5005952101</v>
      </c>
      <c r="U58" s="34">
        <f t="shared" si="17"/>
        <v>280792.53081889544</v>
      </c>
    </row>
    <row r="59" spans="2:21" ht="1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6"/>
      <c r="O59" s="26"/>
      <c r="P59" s="26"/>
      <c r="Q59" s="26"/>
      <c r="R59" s="26"/>
      <c r="S59" s="26"/>
      <c r="T59" s="26"/>
      <c r="U59" s="26"/>
    </row>
    <row r="60" spans="2:21" ht="15.75">
      <c r="B60" s="36" t="s">
        <v>5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35">
        <v>-44919</v>
      </c>
      <c r="O60" s="35">
        <v>-60228</v>
      </c>
      <c r="P60" s="35">
        <v>-68831</v>
      </c>
      <c r="Q60" s="35">
        <v>-38500</v>
      </c>
      <c r="R60" s="35">
        <v>-18000</v>
      </c>
      <c r="S60" s="35">
        <v>-15100</v>
      </c>
      <c r="T60" s="35">
        <v>-24400</v>
      </c>
      <c r="U60" s="35">
        <v>-16700</v>
      </c>
    </row>
    <row r="61" spans="2:21" ht="15.75">
      <c r="B61" s="36" t="s">
        <v>4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35">
        <v>-198811</v>
      </c>
      <c r="O61" s="35">
        <v>-71076</v>
      </c>
      <c r="P61" s="35">
        <v>-5378.340000000026</v>
      </c>
      <c r="Q61" s="35">
        <v>-5432.123399999982</v>
      </c>
      <c r="R61" s="35">
        <v>-5486.444633999978</v>
      </c>
      <c r="S61" s="35">
        <v>-5541.309080340041</v>
      </c>
      <c r="T61" s="35">
        <v>-5596.722171143418</v>
      </c>
      <c r="U61" s="35">
        <v>-5652.6893928548525</v>
      </c>
    </row>
    <row r="62" spans="2:21" ht="15.75">
      <c r="B62" s="33" t="s">
        <v>50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34">
        <f aca="true" t="shared" si="18" ref="N62:U62">SUM(N60:N61)</f>
        <v>-243730</v>
      </c>
      <c r="O62" s="34">
        <f t="shared" si="18"/>
        <v>-131304</v>
      </c>
      <c r="P62" s="34">
        <f t="shared" si="18"/>
        <v>-74209.34000000003</v>
      </c>
      <c r="Q62" s="34">
        <f t="shared" si="18"/>
        <v>-43932.12339999998</v>
      </c>
      <c r="R62" s="34">
        <f t="shared" si="18"/>
        <v>-23486.444633999978</v>
      </c>
      <c r="S62" s="34">
        <f t="shared" si="18"/>
        <v>-20641.30908034004</v>
      </c>
      <c r="T62" s="34">
        <f t="shared" si="18"/>
        <v>-29996.722171143418</v>
      </c>
      <c r="U62" s="34">
        <f t="shared" si="18"/>
        <v>-22352.689392854852</v>
      </c>
    </row>
    <row r="63" spans="2:21" ht="1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6"/>
      <c r="O63" s="26"/>
      <c r="P63" s="26"/>
      <c r="Q63" s="26"/>
      <c r="R63" s="26"/>
      <c r="S63" s="26"/>
      <c r="T63" s="26"/>
      <c r="U63" s="26"/>
    </row>
    <row r="64" spans="2:21" ht="15.75">
      <c r="B64" s="36" t="s">
        <v>3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35">
        <v>-60000</v>
      </c>
      <c r="O64" s="35">
        <v>210000</v>
      </c>
      <c r="P64" s="35">
        <v>-25000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</row>
    <row r="65" spans="2:21" ht="15.75">
      <c r="B65" s="36" t="s">
        <v>2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35">
        <v>-164019</v>
      </c>
      <c r="O65" s="35">
        <v>-18168</v>
      </c>
      <c r="P65" s="35">
        <v>-98.77000000000044</v>
      </c>
      <c r="Q65" s="35">
        <v>-5099.7577</v>
      </c>
      <c r="R65" s="35">
        <v>14899.244723</v>
      </c>
      <c r="S65" s="35">
        <v>-10101.76282977</v>
      </c>
      <c r="T65" s="35">
        <v>19897.2195419323</v>
      </c>
      <c r="U65" s="35">
        <v>49896.19173735162</v>
      </c>
    </row>
    <row r="66" spans="2:21" ht="15.75">
      <c r="B66" s="36" t="s">
        <v>1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35">
        <v>-113481</v>
      </c>
      <c r="O66" s="35">
        <v>-119992</v>
      </c>
      <c r="P66" s="35">
        <v>-119992</v>
      </c>
      <c r="Q66" s="35">
        <v>-119992</v>
      </c>
      <c r="R66" s="35">
        <v>-119992</v>
      </c>
      <c r="S66" s="35">
        <v>-119992</v>
      </c>
      <c r="T66" s="35">
        <v>-119992</v>
      </c>
      <c r="U66" s="35">
        <v>-119992</v>
      </c>
    </row>
    <row r="67" spans="2:21" ht="15.75">
      <c r="B67" s="36" t="s">
        <v>0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35">
        <v>-1032</v>
      </c>
      <c r="O67" s="35">
        <v>-5181</v>
      </c>
      <c r="P67" s="35">
        <v>9677.45000000007</v>
      </c>
      <c r="Q67" s="35">
        <v>9774.224500000128</v>
      </c>
      <c r="R67" s="35">
        <v>9871.966744999983</v>
      </c>
      <c r="S67" s="35">
        <v>9970.686412450043</v>
      </c>
      <c r="T67" s="35">
        <v>10070.39327657444</v>
      </c>
      <c r="U67" s="35">
        <v>10171.097209340427</v>
      </c>
    </row>
    <row r="68" spans="2:21" ht="15.75">
      <c r="B68" s="33" t="s">
        <v>51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34">
        <f aca="true" t="shared" si="19" ref="N68:U68">SUM(N66:N67)</f>
        <v>-114513</v>
      </c>
      <c r="O68" s="34">
        <f t="shared" si="19"/>
        <v>-125173</v>
      </c>
      <c r="P68" s="34">
        <f t="shared" si="19"/>
        <v>-110314.54999999993</v>
      </c>
      <c r="Q68" s="34">
        <f t="shared" si="19"/>
        <v>-110217.77549999987</v>
      </c>
      <c r="R68" s="34">
        <f t="shared" si="19"/>
        <v>-110120.03325500002</v>
      </c>
      <c r="S68" s="34">
        <f t="shared" si="19"/>
        <v>-110021.31358754996</v>
      </c>
      <c r="T68" s="34">
        <f t="shared" si="19"/>
        <v>-109921.60672342556</v>
      </c>
      <c r="U68" s="34">
        <f t="shared" si="19"/>
        <v>-109820.90279065957</v>
      </c>
    </row>
    <row r="69" spans="2:21" ht="1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6"/>
      <c r="O69" s="26"/>
      <c r="P69" s="26"/>
      <c r="Q69" s="26"/>
      <c r="R69" s="26"/>
      <c r="S69" s="26"/>
      <c r="T69" s="26"/>
      <c r="U69" s="26"/>
    </row>
    <row r="70" spans="2:21" ht="16.5" thickBot="1">
      <c r="B70" s="33" t="s">
        <v>52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32">
        <f aca="true" t="shared" si="20" ref="N70:U70">SUM(N55:N57,N60:N61,N64:N67)</f>
        <v>-339721</v>
      </c>
      <c r="O70" s="32">
        <f t="shared" si="20"/>
        <v>292798</v>
      </c>
      <c r="P70" s="32">
        <f t="shared" si="20"/>
        <v>-149375.86536164372</v>
      </c>
      <c r="Q70" s="32">
        <f t="shared" si="20"/>
        <v>118101.81012240067</v>
      </c>
      <c r="R70" s="32">
        <f t="shared" si="20"/>
        <v>158402.4537359128</v>
      </c>
      <c r="S70" s="32">
        <f t="shared" si="20"/>
        <v>143193.58806127455</v>
      </c>
      <c r="T70" s="32">
        <f t="shared" si="20"/>
        <v>162102.39124257345</v>
      </c>
      <c r="U70" s="32">
        <f t="shared" si="20"/>
        <v>198515.13037273264</v>
      </c>
    </row>
    <row r="71" spans="2:21" ht="15.75" thickTop="1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2:21" ht="1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ht="1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ht="15">
      <c r="B74" s="30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15"/>
      <c r="O74" s="15"/>
      <c r="P74" s="15"/>
      <c r="Q74" s="15"/>
      <c r="R74" s="15"/>
      <c r="S74" s="15"/>
      <c r="T74" s="15"/>
      <c r="U74" s="15"/>
    </row>
    <row r="75" spans="2:21" ht="1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ht="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6"/>
      <c r="O76" s="26"/>
      <c r="P76" s="26"/>
      <c r="Q76" s="26"/>
      <c r="R76" s="26"/>
      <c r="S76" s="26"/>
      <c r="T76" s="26"/>
      <c r="U76" s="26"/>
    </row>
    <row r="77" spans="2:21" ht="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6"/>
      <c r="O77" s="26"/>
      <c r="P77" s="26"/>
      <c r="Q77" s="26"/>
      <c r="R77" s="26"/>
      <c r="S77" s="26"/>
      <c r="T77" s="26"/>
      <c r="U77" s="26"/>
    </row>
    <row r="78" spans="2:21" ht="15">
      <c r="B78" s="25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7"/>
      <c r="O78" s="27"/>
      <c r="P78" s="27"/>
      <c r="Q78" s="27"/>
      <c r="R78" s="27"/>
      <c r="S78" s="27"/>
      <c r="T78" s="27"/>
      <c r="U78" s="27"/>
    </row>
    <row r="79" spans="2:21" ht="1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6"/>
      <c r="O79" s="10"/>
      <c r="P79" s="10"/>
      <c r="Q79" s="10"/>
      <c r="R79" s="10"/>
      <c r="S79" s="10"/>
      <c r="T79" s="10"/>
      <c r="U79" s="10"/>
    </row>
    <row r="80" spans="2:21" ht="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6"/>
      <c r="O80" s="26"/>
      <c r="P80" s="26"/>
      <c r="Q80" s="26"/>
      <c r="R80" s="26"/>
      <c r="S80" s="26"/>
      <c r="T80" s="26"/>
      <c r="U80" s="26"/>
    </row>
    <row r="81" spans="2:21" ht="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6"/>
      <c r="O81" s="26"/>
      <c r="P81" s="26"/>
      <c r="Q81" s="26"/>
      <c r="R81" s="26"/>
      <c r="S81" s="26"/>
      <c r="T81" s="26"/>
      <c r="U81" s="26"/>
    </row>
    <row r="82" spans="2:21" ht="15">
      <c r="B82" s="25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9"/>
      <c r="O82" s="29"/>
      <c r="P82" s="29"/>
      <c r="Q82" s="29"/>
      <c r="R82" s="29"/>
      <c r="S82" s="29"/>
      <c r="T82" s="29"/>
      <c r="U82" s="29"/>
    </row>
    <row r="83" spans="2:21" ht="15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1" ht="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6"/>
      <c r="O84" s="26"/>
      <c r="P84" s="26"/>
      <c r="Q84" s="26"/>
      <c r="R84" s="26"/>
      <c r="S84" s="26"/>
      <c r="T84" s="26"/>
      <c r="U84" s="26"/>
    </row>
    <row r="85" spans="2:21" ht="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6"/>
      <c r="O85" s="26"/>
      <c r="P85" s="26"/>
      <c r="Q85" s="26"/>
      <c r="R85" s="26"/>
      <c r="S85" s="26"/>
      <c r="T85" s="26"/>
      <c r="U85" s="26"/>
    </row>
    <row r="86" spans="2:21" ht="15">
      <c r="B86" s="2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7"/>
      <c r="O86" s="27"/>
      <c r="P86" s="27"/>
      <c r="Q86" s="27"/>
      <c r="R86" s="27"/>
      <c r="S86" s="27"/>
      <c r="T86" s="27"/>
      <c r="U86" s="27"/>
    </row>
    <row r="87" spans="2:21" ht="15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2:21" ht="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6"/>
      <c r="O88" s="26"/>
      <c r="P88" s="26"/>
      <c r="Q88" s="26"/>
      <c r="R88" s="26"/>
      <c r="S88" s="26"/>
      <c r="T88" s="26"/>
      <c r="U88" s="26"/>
    </row>
    <row r="89" spans="2:21" ht="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6"/>
      <c r="O89" s="26"/>
      <c r="P89" s="26"/>
      <c r="Q89" s="26"/>
      <c r="R89" s="26"/>
      <c r="S89" s="26"/>
      <c r="T89" s="26"/>
      <c r="U89" s="26"/>
    </row>
    <row r="90" spans="2:21" ht="15">
      <c r="B90" s="25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7"/>
      <c r="O90" s="27"/>
      <c r="P90" s="27"/>
      <c r="Q90" s="27"/>
      <c r="R90" s="27"/>
      <c r="S90" s="27"/>
      <c r="T90" s="27"/>
      <c r="U90" s="27"/>
    </row>
    <row r="91" spans="2:21" ht="15">
      <c r="B91" s="25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8"/>
      <c r="O91" s="28"/>
      <c r="P91" s="28"/>
      <c r="Q91" s="28"/>
      <c r="R91" s="28"/>
      <c r="S91" s="28"/>
      <c r="T91" s="28"/>
      <c r="U91" s="28"/>
    </row>
    <row r="92" spans="2:21" ht="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6"/>
      <c r="O92" s="26"/>
      <c r="P92" s="26"/>
      <c r="Q92" s="26"/>
      <c r="R92" s="26"/>
      <c r="S92" s="26"/>
      <c r="T92" s="26"/>
      <c r="U92" s="26"/>
    </row>
    <row r="93" spans="2:21" ht="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6"/>
      <c r="O93" s="26"/>
      <c r="P93" s="26"/>
      <c r="Q93" s="26"/>
      <c r="R93" s="26"/>
      <c r="S93" s="26"/>
      <c r="T93" s="26"/>
      <c r="U93" s="26"/>
    </row>
    <row r="94" spans="2:21" ht="15">
      <c r="B94" s="25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7"/>
      <c r="O94" s="27"/>
      <c r="P94" s="27"/>
      <c r="Q94" s="27"/>
      <c r="R94" s="27"/>
      <c r="S94" s="27"/>
      <c r="T94" s="27"/>
      <c r="U94" s="27"/>
    </row>
    <row r="95" spans="2:21" ht="1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</row>
    <row r="96" spans="2:21" ht="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6"/>
      <c r="O96" s="26"/>
      <c r="P96" s="26"/>
      <c r="Q96" s="26"/>
      <c r="R96" s="26"/>
      <c r="S96" s="26"/>
      <c r="T96" s="26"/>
      <c r="U96" s="26"/>
    </row>
    <row r="97" spans="2:21" ht="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6"/>
      <c r="O97" s="26"/>
      <c r="P97" s="26"/>
      <c r="Q97" s="26"/>
      <c r="R97" s="26"/>
      <c r="S97" s="26"/>
      <c r="T97" s="26"/>
      <c r="U97" s="26"/>
    </row>
    <row r="98" spans="2:21" ht="15">
      <c r="B98" s="25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3"/>
      <c r="O98" s="23"/>
      <c r="P98" s="23"/>
      <c r="Q98" s="23"/>
      <c r="R98" s="23"/>
      <c r="S98" s="23"/>
      <c r="T98" s="23"/>
      <c r="U98" s="23"/>
    </row>
    <row r="99" spans="2:21" ht="1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6"/>
      <c r="O99" s="26"/>
      <c r="P99" s="26"/>
      <c r="Q99" s="26"/>
      <c r="R99" s="26"/>
      <c r="S99" s="26"/>
      <c r="T99" s="26"/>
      <c r="U99" s="26"/>
    </row>
    <row r="100" spans="2:21" ht="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6"/>
      <c r="O100" s="26"/>
      <c r="P100" s="26"/>
      <c r="Q100" s="26"/>
      <c r="R100" s="26"/>
      <c r="S100" s="26"/>
      <c r="T100" s="26"/>
      <c r="U100" s="26"/>
    </row>
    <row r="101" spans="2:21" ht="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6"/>
      <c r="O101" s="26"/>
      <c r="P101" s="26"/>
      <c r="Q101" s="26"/>
      <c r="R101" s="26"/>
      <c r="S101" s="26"/>
      <c r="T101" s="26"/>
      <c r="U101" s="26"/>
    </row>
    <row r="102" spans="2:21" ht="15">
      <c r="B102" s="25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3"/>
      <c r="O102" s="23"/>
      <c r="P102" s="23"/>
      <c r="Q102" s="23"/>
      <c r="R102" s="23"/>
      <c r="S102" s="23"/>
      <c r="T102" s="23"/>
      <c r="U102" s="23"/>
    </row>
    <row r="103" spans="2:21" ht="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</row>
    <row r="104" spans="2:21" ht="1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5"/>
      <c r="O104" s="15"/>
      <c r="P104" s="15"/>
      <c r="Q104" s="15"/>
      <c r="R104" s="15"/>
      <c r="S104" s="15"/>
      <c r="T104" s="15"/>
      <c r="U104" s="15"/>
    </row>
    <row r="105" spans="2:21" ht="15"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</row>
    <row r="106" spans="2:21" ht="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19"/>
      <c r="O106" s="19"/>
      <c r="P106" s="19"/>
      <c r="Q106" s="19"/>
      <c r="R106" s="19"/>
      <c r="S106" s="19"/>
      <c r="T106" s="19"/>
      <c r="U106" s="19"/>
    </row>
    <row r="107" spans="2:21" ht="15">
      <c r="B107" s="2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9"/>
      <c r="O107" s="19"/>
      <c r="P107" s="19"/>
      <c r="Q107" s="19"/>
      <c r="R107" s="19"/>
      <c r="S107" s="19"/>
      <c r="T107" s="19"/>
      <c r="U107" s="19"/>
    </row>
    <row r="108" spans="2:21" ht="15">
      <c r="B108" s="21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9"/>
      <c r="O108" s="19"/>
      <c r="P108" s="19"/>
      <c r="Q108" s="19"/>
      <c r="R108" s="19"/>
      <c r="S108" s="19"/>
      <c r="T108" s="19"/>
      <c r="U108" s="19"/>
    </row>
    <row r="109" spans="2:21" ht="15">
      <c r="B109" s="21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20"/>
      <c r="O109" s="20"/>
      <c r="P109" s="20"/>
      <c r="Q109" s="20"/>
      <c r="R109" s="20"/>
      <c r="S109" s="20"/>
      <c r="T109" s="20"/>
      <c r="U109" s="20"/>
    </row>
    <row r="110" spans="2:21" ht="15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</row>
    <row r="111" spans="2:21" ht="1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9"/>
      <c r="O111" s="19"/>
      <c r="P111" s="19"/>
      <c r="Q111" s="19"/>
      <c r="R111" s="19"/>
      <c r="S111" s="19"/>
      <c r="T111" s="19"/>
      <c r="U111" s="19"/>
    </row>
    <row r="112" spans="2:21" ht="1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9"/>
      <c r="O112" s="19"/>
      <c r="P112" s="19"/>
      <c r="Q112" s="19"/>
      <c r="R112" s="19"/>
      <c r="S112" s="19"/>
      <c r="T112" s="19"/>
      <c r="U112" s="19"/>
    </row>
    <row r="113" spans="2:21" ht="1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8"/>
      <c r="O113" s="18"/>
      <c r="P113" s="18"/>
      <c r="Q113" s="18"/>
      <c r="R113" s="18"/>
      <c r="S113" s="18"/>
      <c r="T113" s="18"/>
      <c r="U113" s="18"/>
    </row>
    <row r="114" spans="2:21" ht="15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</row>
    <row r="115" spans="2:21" ht="15"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</row>
    <row r="116" spans="2:21" ht="1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3"/>
      <c r="O116" s="13"/>
      <c r="P116" s="13"/>
      <c r="Q116" s="13"/>
      <c r="R116" s="13"/>
      <c r="S116" s="13"/>
      <c r="T116" s="13"/>
      <c r="U116" s="13"/>
    </row>
    <row r="117" spans="2:21" ht="15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3"/>
      <c r="O117" s="13"/>
      <c r="P117" s="13"/>
      <c r="Q117" s="13"/>
      <c r="R117" s="13"/>
      <c r="S117" s="13"/>
      <c r="T117" s="13"/>
      <c r="U117" s="13"/>
    </row>
    <row r="118" spans="2:21" ht="15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7"/>
      <c r="O118" s="17"/>
      <c r="P118" s="17"/>
      <c r="Q118" s="17"/>
      <c r="R118" s="17"/>
      <c r="S118" s="17"/>
      <c r="T118" s="17"/>
      <c r="U118" s="17"/>
    </row>
    <row r="119" spans="2:21" ht="15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3"/>
      <c r="O119" s="13"/>
      <c r="P119" s="13"/>
      <c r="Q119" s="13"/>
      <c r="R119" s="13"/>
      <c r="S119" s="13"/>
      <c r="T119" s="13"/>
      <c r="U119" s="13"/>
    </row>
    <row r="120" spans="2:21" ht="15">
      <c r="B120" s="1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3"/>
      <c r="O120" s="13"/>
      <c r="P120" s="13"/>
      <c r="Q120" s="13"/>
      <c r="R120" s="13"/>
      <c r="S120" s="13"/>
      <c r="T120" s="13"/>
      <c r="U120" s="13"/>
    </row>
    <row r="121" spans="2:21" ht="15">
      <c r="B121" s="12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3"/>
      <c r="O121" s="13"/>
      <c r="P121" s="13"/>
      <c r="Q121" s="13"/>
      <c r="R121" s="13"/>
      <c r="S121" s="13"/>
      <c r="T121" s="13"/>
      <c r="U121" s="13"/>
    </row>
    <row r="122" spans="2:21" ht="15">
      <c r="B122" s="12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3"/>
      <c r="O122" s="13"/>
      <c r="P122" s="13"/>
      <c r="Q122" s="13"/>
      <c r="R122" s="13"/>
      <c r="S122" s="13"/>
      <c r="T122" s="13"/>
      <c r="U122" s="13"/>
    </row>
    <row r="123" spans="2:21" ht="15">
      <c r="B123" s="1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7"/>
      <c r="O123" s="17"/>
      <c r="P123" s="17"/>
      <c r="Q123" s="17"/>
      <c r="R123" s="17"/>
      <c r="S123" s="17"/>
      <c r="T123" s="17"/>
      <c r="U123" s="17"/>
    </row>
    <row r="124" spans="2:21" ht="15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3"/>
      <c r="O124" s="13"/>
      <c r="P124" s="13"/>
      <c r="Q124" s="13"/>
      <c r="R124" s="13"/>
      <c r="S124" s="13"/>
      <c r="T124" s="13"/>
      <c r="U124" s="13"/>
    </row>
    <row r="125" spans="2:21" ht="15">
      <c r="B125" s="12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3"/>
      <c r="O125" s="13"/>
      <c r="P125" s="13"/>
      <c r="Q125" s="13"/>
      <c r="R125" s="13"/>
      <c r="S125" s="13"/>
      <c r="T125" s="13"/>
      <c r="U125" s="13"/>
    </row>
    <row r="126" spans="2:21" ht="15">
      <c r="B126" s="12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6"/>
      <c r="O126" s="16"/>
      <c r="P126" s="16"/>
      <c r="Q126" s="16"/>
      <c r="R126" s="16"/>
      <c r="S126" s="16"/>
      <c r="T126" s="16"/>
      <c r="U126" s="16"/>
    </row>
    <row r="127" spans="2:21" ht="15">
      <c r="B127" s="1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1"/>
      <c r="O127" s="11"/>
      <c r="P127" s="11"/>
      <c r="Q127" s="11"/>
      <c r="R127" s="11"/>
      <c r="S127" s="11"/>
      <c r="T127" s="11"/>
      <c r="U127" s="11"/>
    </row>
    <row r="128" spans="2:21" ht="15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9"/>
      <c r="O128" s="9"/>
      <c r="P128" s="9"/>
      <c r="Q128" s="9"/>
      <c r="R128" s="9"/>
      <c r="S128" s="9"/>
      <c r="T128" s="9"/>
      <c r="U128" s="9"/>
    </row>
    <row r="129" spans="2:21" ht="15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</row>
    <row r="130" spans="2:21" ht="15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5"/>
      <c r="O130" s="15"/>
      <c r="P130" s="15"/>
      <c r="Q130" s="15"/>
      <c r="R130" s="15"/>
      <c r="S130" s="15"/>
      <c r="T130" s="15"/>
      <c r="U130" s="15"/>
    </row>
    <row r="131" spans="2:21" ht="15"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</row>
    <row r="132" spans="2:21" ht="15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3"/>
      <c r="O132" s="13"/>
      <c r="P132" s="13"/>
      <c r="Q132" s="13"/>
      <c r="R132" s="13"/>
      <c r="S132" s="13"/>
      <c r="T132" s="13"/>
      <c r="U132" s="13"/>
    </row>
    <row r="133" spans="2:21" ht="15">
      <c r="B133" s="1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1"/>
      <c r="O133" s="11"/>
      <c r="P133" s="11"/>
      <c r="Q133" s="11"/>
      <c r="R133" s="11"/>
      <c r="S133" s="11"/>
      <c r="T133" s="11"/>
      <c r="U133" s="11"/>
    </row>
    <row r="134" spans="2:21" ht="15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9"/>
      <c r="O134" s="9"/>
      <c r="P134" s="9"/>
      <c r="Q134" s="9"/>
      <c r="R134" s="9"/>
      <c r="S134" s="9"/>
      <c r="T134" s="9"/>
      <c r="U134" s="9"/>
    </row>
    <row r="135" spans="2:21" ht="15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</row>
    <row r="136" spans="2:21" ht="15"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</row>
    <row r="137" spans="2:21" ht="15">
      <c r="B137" s="1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3"/>
      <c r="O137" s="13"/>
      <c r="P137" s="13"/>
      <c r="Q137" s="13"/>
      <c r="R137" s="13"/>
      <c r="S137" s="13"/>
      <c r="T137" s="13"/>
      <c r="U137" s="13"/>
    </row>
    <row r="138" spans="2:21" ht="15">
      <c r="B138" s="12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1"/>
      <c r="P138" s="11"/>
      <c r="Q138" s="11"/>
      <c r="R138" s="11"/>
      <c r="S138" s="11"/>
      <c r="T138" s="11"/>
      <c r="U138" s="11"/>
    </row>
    <row r="139" spans="2:21" ht="15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9"/>
      <c r="O139" s="9"/>
      <c r="P139" s="9"/>
      <c r="Q139" s="9"/>
      <c r="R139" s="9"/>
      <c r="S139" s="9"/>
      <c r="T139" s="9"/>
      <c r="U139" s="9"/>
    </row>
    <row r="140" spans="2:21" ht="1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</row>
    <row r="141" spans="2:21" ht="15"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</row>
    <row r="142" spans="2:21" ht="15">
      <c r="B142" s="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3"/>
      <c r="O142" s="13"/>
      <c r="P142" s="13"/>
      <c r="Q142" s="13"/>
      <c r="R142" s="13"/>
      <c r="S142" s="13"/>
      <c r="T142" s="13"/>
      <c r="U142" s="13"/>
    </row>
    <row r="143" spans="2:21" ht="15">
      <c r="B143" s="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1"/>
      <c r="O143" s="11"/>
      <c r="P143" s="11"/>
      <c r="Q143" s="11"/>
      <c r="R143" s="11"/>
      <c r="S143" s="11"/>
      <c r="T143" s="11"/>
      <c r="U143" s="11"/>
    </row>
    <row r="144" spans="2:21" ht="1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9"/>
      <c r="O144" s="9"/>
      <c r="P144" s="9"/>
      <c r="Q144" s="9"/>
      <c r="R144" s="9"/>
      <c r="S144" s="9"/>
      <c r="T144" s="9"/>
      <c r="U144" s="9"/>
    </row>
    <row r="145" spans="2:21" ht="15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</row>
    <row r="146" spans="2:21" ht="15">
      <c r="B146" s="14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</row>
    <row r="147" spans="2:21" ht="15">
      <c r="B147" s="12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3"/>
      <c r="O147" s="13"/>
      <c r="P147" s="13"/>
      <c r="Q147" s="13"/>
      <c r="R147" s="13"/>
      <c r="S147" s="13"/>
      <c r="T147" s="13"/>
      <c r="U147" s="13"/>
    </row>
    <row r="148" spans="2:21" ht="15">
      <c r="B148" s="1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1"/>
      <c r="P148" s="11"/>
      <c r="Q148" s="11"/>
      <c r="R148" s="11"/>
      <c r="S148" s="11"/>
      <c r="T148" s="11"/>
      <c r="U148" s="11"/>
    </row>
    <row r="149" spans="2:21" ht="15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9"/>
      <c r="O149" s="9"/>
      <c r="P149" s="9"/>
      <c r="Q149" s="9"/>
      <c r="R149" s="9"/>
      <c r="S149" s="9"/>
      <c r="T149" s="9"/>
      <c r="U149" s="9"/>
    </row>
    <row r="152" spans="3:21" ht="15">
      <c r="C152" s="8" t="s">
        <v>27</v>
      </c>
      <c r="H152" s="7">
        <v>1</v>
      </c>
      <c r="N152" s="6" t="e">
        <v>#REF!</v>
      </c>
      <c r="O152" s="6" t="e">
        <v>#REF!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</row>
    <row r="153" spans="3:21" ht="15">
      <c r="C153" s="8" t="s">
        <v>34</v>
      </c>
      <c r="H153" s="7"/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</row>
    <row r="154" spans="8:21" ht="15">
      <c r="H154" s="7"/>
      <c r="N154" s="6"/>
      <c r="O154" s="6"/>
      <c r="P154" s="6"/>
      <c r="Q154" s="6"/>
      <c r="R154" s="6"/>
      <c r="S154" s="6"/>
      <c r="T154" s="6"/>
      <c r="U154" s="6"/>
    </row>
    <row r="155" spans="8:21" ht="15">
      <c r="H155" s="7"/>
      <c r="N155" s="6"/>
      <c r="O155" s="6"/>
      <c r="P155" s="6"/>
      <c r="Q155" s="6"/>
      <c r="R155" s="6"/>
      <c r="S155" s="6"/>
      <c r="T155" s="6"/>
      <c r="U155" s="6"/>
    </row>
    <row r="156" spans="8:21" ht="15">
      <c r="H156" s="7"/>
      <c r="N156" s="6"/>
      <c r="O156" s="6"/>
      <c r="P156" s="6"/>
      <c r="Q156" s="6"/>
      <c r="R156" s="6"/>
      <c r="S156" s="6"/>
      <c r="T156" s="6"/>
      <c r="U156" s="6"/>
    </row>
    <row r="157" spans="8:21" ht="15">
      <c r="H157" s="7"/>
      <c r="N157" s="6"/>
      <c r="O157" s="6"/>
      <c r="P157" s="6"/>
      <c r="Q157" s="6"/>
      <c r="R157" s="6"/>
      <c r="S157" s="6"/>
      <c r="T157" s="6"/>
      <c r="U157" s="6"/>
    </row>
    <row r="158" spans="3:21" ht="15">
      <c r="C158">
        <f>C129</f>
        <v>0</v>
      </c>
      <c r="H158" s="5"/>
      <c r="N158" s="4"/>
      <c r="O158" s="4"/>
      <c r="P158" s="4"/>
      <c r="Q158" s="4"/>
      <c r="R158" s="4"/>
      <c r="S158" s="4"/>
      <c r="T158" s="4"/>
      <c r="U158" s="4"/>
    </row>
    <row r="159" spans="2:21" ht="15">
      <c r="B159" s="3" t="str">
        <f>B1&amp;" - Error Checks"</f>
        <v>Dashboard - Error Checks</v>
      </c>
      <c r="M159" s="2" t="e">
        <f>MIN(SUM(N159:R159),1)</f>
        <v>#REF!</v>
      </c>
      <c r="N159" s="1" t="e">
        <f aca="true" t="shared" si="21" ref="N159:U159">MIN(SUM(N151:N158),1)</f>
        <v>#REF!</v>
      </c>
      <c r="O159" s="1" t="e">
        <f t="shared" si="21"/>
        <v>#REF!</v>
      </c>
      <c r="P159" s="1">
        <f t="shared" si="21"/>
        <v>0</v>
      </c>
      <c r="Q159" s="1">
        <f t="shared" si="21"/>
        <v>0</v>
      </c>
      <c r="R159" s="1">
        <f t="shared" si="21"/>
        <v>0</v>
      </c>
      <c r="S159" s="1">
        <f t="shared" si="21"/>
        <v>0</v>
      </c>
      <c r="T159" s="1">
        <f t="shared" si="21"/>
        <v>0</v>
      </c>
      <c r="U159" s="1">
        <f t="shared" si="21"/>
        <v>0</v>
      </c>
    </row>
  </sheetData>
  <sheetProtection/>
  <mergeCells count="3">
    <mergeCell ref="B5:U5"/>
    <mergeCell ref="B32:U32"/>
    <mergeCell ref="B51:U51"/>
  </mergeCells>
  <conditionalFormatting sqref="N107:P107 S107:U107">
    <cfRule type="expression" priority="4" dxfId="6">
      <formula>N$108=0</formula>
    </cfRule>
    <cfRule type="expression" priority="5" dxfId="7">
      <formula>N$108&gt;1</formula>
    </cfRule>
    <cfRule type="expression" priority="6" dxfId="8">
      <formula>N$108=1</formula>
    </cfRule>
  </conditionalFormatting>
  <conditionalFormatting sqref="Q107:R107">
    <cfRule type="expression" priority="1" dxfId="6">
      <formula>Q$108=0</formula>
    </cfRule>
    <cfRule type="expression" priority="2" dxfId="7">
      <formula>Q$108&gt;1</formula>
    </cfRule>
    <cfRule type="expression" priority="3" dxfId="8">
      <formula>Q$108=1</formula>
    </cfRule>
  </conditionalFormatting>
  <dataValidations count="1">
    <dataValidation type="list" allowBlank="1" showInputMessage="1" showErrorMessage="1" sqref="AM6">
      <formula1>listYear</formula1>
    </dataValidation>
  </dataValidations>
  <hyperlinks>
    <hyperlink ref="B3" location="Index!B1" display="Go to Index"/>
  </hyperlinks>
  <printOptions/>
  <pageMargins left="0.7" right="0.7" top="0.75" bottom="0.75" header="0.3" footer="0.3"/>
  <pageSetup horizontalDpi="600" verticalDpi="600" orientation="portrait" r:id="rId2"/>
  <ignoredErrors>
    <ignoredError sqref="N68:U6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 SHAJEDUL ISLAM</cp:lastModifiedBy>
  <cp:lastPrinted>2019-04-25T13:35:58Z</cp:lastPrinted>
  <dcterms:created xsi:type="dcterms:W3CDTF">2014-04-01T18:48:21Z</dcterms:created>
  <dcterms:modified xsi:type="dcterms:W3CDTF">2019-04-25T13:36:34Z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