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T\Desktop\New folder (2)\"/>
    </mc:Choice>
  </mc:AlternateContent>
  <bookViews>
    <workbookView xWindow="11604" yWindow="-12" windowWidth="11448" windowHeight="9384" tabRatio="804" activeTab="1"/>
  </bookViews>
  <sheets>
    <sheet name="Prediction Sheet" sheetId="24" r:id="rId1"/>
    <sheet name="Copyright" sheetId="25" r:id="rId2"/>
    <sheet name="Copyright-2" sheetId="26" state="hidden" r:id="rId3"/>
    <sheet name="Tournament" sheetId="1" state="hidden" r:id="rId4"/>
    <sheet name="Dummy Table" sheetId="2" state="hidden" r:id="rId5"/>
  </sheets>
  <definedNames>
    <definedName name="Bonu1">#REF!</definedName>
    <definedName name="Bonu2">#REF!</definedName>
    <definedName name="Bonu3">#REF!</definedName>
    <definedName name="Bonu4">#REF!</definedName>
    <definedName name="Bonu5">#REF!</definedName>
    <definedName name="Bonu6">#REF!</definedName>
    <definedName name="Fina1">#REF!</definedName>
    <definedName name="Fina2">#REF!</definedName>
    <definedName name="Fina3">#REF!</definedName>
    <definedName name="Fina4">#REF!</definedName>
    <definedName name="Pool1">#REF!</definedName>
    <definedName name="Pool2">#REF!</definedName>
    <definedName name="Pool3">#REF!</definedName>
    <definedName name="Pool4">#REF!</definedName>
    <definedName name="PoolTeam">'Dummy Table'!$B$32:$B$57</definedName>
    <definedName name="_xlnm.Print_Area" localSheetId="0">'Prediction Sheet'!$B$2:$AD$72</definedName>
    <definedName name="_xlnm.Print_Area" localSheetId="3">Tournament!$B$7:$AR$81</definedName>
    <definedName name="Quar1">#REF!</definedName>
    <definedName name="Quar2">#REF!</definedName>
    <definedName name="Quar3">#REF!</definedName>
    <definedName name="Quar4">#REF!</definedName>
    <definedName name="ScoreMargin">#REF!</definedName>
    <definedName name="ScoreMarginKO">#REF!</definedName>
    <definedName name="Semi1">#REF!</definedName>
    <definedName name="Semi2">#REF!</definedName>
    <definedName name="Semi3">#REF!</definedName>
    <definedName name="Semi4">#REF!</definedName>
    <definedName name="thir1">#REF!</definedName>
    <definedName name="thir2">#REF!</definedName>
    <definedName name="thir3">#REF!</definedName>
    <definedName name="thir4">#REF!</definedName>
    <definedName name="Tries1">#REF!</definedName>
    <definedName name="TriesSet">#REF!</definedName>
    <definedName name="Venues">'Dummy Table'!$C$32:$C$44</definedName>
  </definedNames>
  <calcPr calcId="152511"/>
</workbook>
</file>

<file path=xl/calcChain.xml><?xml version="1.0" encoding="utf-8"?>
<calcChain xmlns="http://schemas.openxmlformats.org/spreadsheetml/2006/main">
  <c r="Y68" i="1" l="1"/>
  <c r="Y67" i="1"/>
  <c r="Y76" i="1"/>
  <c r="Y75" i="1"/>
  <c r="O74" i="1"/>
  <c r="O73" i="1"/>
  <c r="O62" i="1"/>
  <c r="O61" i="1"/>
  <c r="I77" i="1"/>
  <c r="I76" i="1"/>
  <c r="I71" i="1"/>
  <c r="I70" i="1"/>
  <c r="I65" i="1"/>
  <c r="I64" i="1"/>
  <c r="I59" i="1"/>
  <c r="I58" i="1"/>
  <c r="Q52" i="1"/>
  <c r="O52" i="1"/>
  <c r="Q51" i="1"/>
  <c r="O51" i="1"/>
  <c r="Q50" i="1"/>
  <c r="O50" i="1"/>
  <c r="Q49" i="1"/>
  <c r="O49" i="1"/>
  <c r="Q48" i="1"/>
  <c r="O48" i="1"/>
  <c r="Q47" i="1"/>
  <c r="O47" i="1"/>
  <c r="Q46" i="1"/>
  <c r="O46" i="1"/>
  <c r="Q45" i="1"/>
  <c r="O45" i="1"/>
  <c r="Q44" i="1"/>
  <c r="O44" i="1"/>
  <c r="Q43" i="1"/>
  <c r="O43" i="1"/>
  <c r="Q42" i="1"/>
  <c r="O42" i="1"/>
  <c r="Q41" i="1"/>
  <c r="O41" i="1"/>
  <c r="Q40" i="1"/>
  <c r="O40" i="1"/>
  <c r="Q39" i="1"/>
  <c r="O39" i="1"/>
  <c r="Q38" i="1"/>
  <c r="O38" i="1"/>
  <c r="Q37" i="1"/>
  <c r="O37" i="1"/>
  <c r="Q36" i="1"/>
  <c r="O36" i="1"/>
  <c r="Q35" i="1"/>
  <c r="O35" i="1"/>
  <c r="Q34" i="1"/>
  <c r="O34" i="1"/>
  <c r="Q33" i="1"/>
  <c r="O33" i="1"/>
  <c r="Q32" i="1"/>
  <c r="O32" i="1"/>
  <c r="Q31" i="1"/>
  <c r="O31" i="1"/>
  <c r="Q30" i="1"/>
  <c r="O30" i="1"/>
  <c r="Q29" i="1"/>
  <c r="O29" i="1"/>
  <c r="Q28" i="1"/>
  <c r="O28" i="1"/>
  <c r="Q27" i="1"/>
  <c r="O27" i="1"/>
  <c r="Q26" i="1"/>
  <c r="O26" i="1"/>
  <c r="Q25" i="1"/>
  <c r="O25" i="1"/>
  <c r="Q24" i="1"/>
  <c r="O24" i="1"/>
  <c r="Q23" i="1"/>
  <c r="O23" i="1"/>
  <c r="Q22" i="1"/>
  <c r="O22" i="1"/>
  <c r="Q21" i="1"/>
  <c r="O21" i="1"/>
  <c r="Q20" i="1"/>
  <c r="O20" i="1"/>
  <c r="Q19" i="1"/>
  <c r="O19" i="1"/>
  <c r="Q18" i="1"/>
  <c r="O18" i="1"/>
  <c r="Q17" i="1"/>
  <c r="O17" i="1"/>
  <c r="Q16" i="1"/>
  <c r="O16" i="1"/>
  <c r="Q15" i="1"/>
  <c r="O15" i="1"/>
  <c r="Q14" i="1"/>
  <c r="O14" i="1"/>
  <c r="L52" i="1"/>
  <c r="J52" i="1"/>
  <c r="L51" i="1"/>
  <c r="J51" i="1"/>
  <c r="L50" i="1"/>
  <c r="J50" i="1"/>
  <c r="L49" i="1"/>
  <c r="J49" i="1"/>
  <c r="L48" i="1"/>
  <c r="J48" i="1"/>
  <c r="L47" i="1"/>
  <c r="J47" i="1"/>
  <c r="L46" i="1"/>
  <c r="J46" i="1"/>
  <c r="L45" i="1"/>
  <c r="J45" i="1"/>
  <c r="L44" i="1"/>
  <c r="J44" i="1"/>
  <c r="L43" i="1"/>
  <c r="J43" i="1"/>
  <c r="L42" i="1"/>
  <c r="J42" i="1"/>
  <c r="L41" i="1"/>
  <c r="J41" i="1"/>
  <c r="L40" i="1"/>
  <c r="J40" i="1"/>
  <c r="L39" i="1"/>
  <c r="J39" i="1"/>
  <c r="L38" i="1"/>
  <c r="J38" i="1"/>
  <c r="L37" i="1"/>
  <c r="J37" i="1"/>
  <c r="L36" i="1"/>
  <c r="J36" i="1"/>
  <c r="L35" i="1"/>
  <c r="J35" i="1"/>
  <c r="L34" i="1"/>
  <c r="J34" i="1"/>
  <c r="L33" i="1"/>
  <c r="J33" i="1"/>
  <c r="L32" i="1"/>
  <c r="J32" i="1"/>
  <c r="L31" i="1"/>
  <c r="J31" i="1"/>
  <c r="L30" i="1"/>
  <c r="J30" i="1"/>
  <c r="L29" i="1"/>
  <c r="J29" i="1"/>
  <c r="L28" i="1"/>
  <c r="J28" i="1"/>
  <c r="L27" i="1"/>
  <c r="J27" i="1"/>
  <c r="L26" i="1"/>
  <c r="J26" i="1"/>
  <c r="L25" i="1"/>
  <c r="J25" i="1"/>
  <c r="L24" i="1"/>
  <c r="J24" i="1"/>
  <c r="L23" i="1"/>
  <c r="J23" i="1"/>
  <c r="L22" i="1"/>
  <c r="J22" i="1"/>
  <c r="L21" i="1"/>
  <c r="J21" i="1"/>
  <c r="L20" i="1"/>
  <c r="J20" i="1"/>
  <c r="L19" i="1"/>
  <c r="J19" i="1"/>
  <c r="L18" i="1"/>
  <c r="J18" i="1"/>
  <c r="L17" i="1"/>
  <c r="J17" i="1"/>
  <c r="L16" i="1"/>
  <c r="J16" i="1"/>
  <c r="L15" i="1"/>
  <c r="J15" i="1"/>
  <c r="L14" i="1"/>
  <c r="J14" i="1"/>
  <c r="Q13" i="1"/>
  <c r="O13" i="1"/>
  <c r="L13" i="1"/>
  <c r="J13" i="1"/>
  <c r="A5" i="24"/>
  <c r="K5" i="24" s="1"/>
  <c r="AD57" i="24" l="1"/>
  <c r="JF1" i="2" l="1"/>
  <c r="JG1" i="2" s="1"/>
  <c r="J29" i="2" l="1"/>
  <c r="I29" i="2"/>
  <c r="J28" i="2"/>
  <c r="I28" i="2"/>
  <c r="J27" i="2"/>
  <c r="I27" i="2"/>
  <c r="J26" i="2"/>
  <c r="I26" i="2"/>
  <c r="J25" i="2"/>
  <c r="I25" i="2"/>
  <c r="J22" i="2"/>
  <c r="I22" i="2"/>
  <c r="J21" i="2"/>
  <c r="I21" i="2"/>
  <c r="J20" i="2"/>
  <c r="I20" i="2"/>
  <c r="J19" i="2"/>
  <c r="I19" i="2"/>
  <c r="J18" i="2"/>
  <c r="I18" i="2"/>
  <c r="J15" i="2"/>
  <c r="I15" i="2"/>
  <c r="J14" i="2"/>
  <c r="I14" i="2"/>
  <c r="J13" i="2"/>
  <c r="I13" i="2"/>
  <c r="J12" i="2"/>
  <c r="I12" i="2"/>
  <c r="J11" i="2"/>
  <c r="I11" i="2"/>
  <c r="J8" i="2"/>
  <c r="I8" i="2"/>
  <c r="J7" i="2"/>
  <c r="I7" i="2"/>
  <c r="J6" i="2"/>
  <c r="I6" i="2"/>
  <c r="J5" i="2"/>
  <c r="I5" i="2"/>
  <c r="J4" i="2"/>
  <c r="I4" i="2"/>
  <c r="F13" i="24" l="1"/>
  <c r="F14" i="24"/>
  <c r="F15" i="24"/>
  <c r="F16" i="24"/>
  <c r="F17" i="24"/>
  <c r="F18" i="24"/>
  <c r="F19" i="24"/>
  <c r="F20" i="24"/>
  <c r="F21" i="24"/>
  <c r="F22" i="24"/>
  <c r="F23" i="24"/>
  <c r="F24" i="24"/>
  <c r="F25" i="24"/>
  <c r="F26" i="24"/>
  <c r="F27" i="24"/>
  <c r="F28" i="24"/>
  <c r="F29" i="24"/>
  <c r="F30" i="24"/>
  <c r="F31" i="24"/>
  <c r="F32" i="24"/>
  <c r="F33" i="24"/>
  <c r="F34" i="24"/>
  <c r="F35" i="24"/>
  <c r="F36" i="24"/>
  <c r="F37" i="24"/>
  <c r="F38" i="24"/>
  <c r="F39" i="24"/>
  <c r="F40" i="24"/>
  <c r="F41" i="24"/>
  <c r="F42" i="24"/>
  <c r="F43" i="24"/>
  <c r="F44" i="24"/>
  <c r="F45" i="24"/>
  <c r="F46" i="24"/>
  <c r="F47" i="24"/>
  <c r="F48" i="24"/>
  <c r="F49" i="24"/>
  <c r="F50" i="24"/>
  <c r="F51" i="24"/>
  <c r="F52" i="24"/>
  <c r="JG3" i="2"/>
  <c r="JH3" i="2"/>
  <c r="JG4" i="2"/>
  <c r="JH4" i="2"/>
  <c r="JG5" i="2"/>
  <c r="JH5" i="2"/>
  <c r="JG6" i="2"/>
  <c r="JH6" i="2"/>
  <c r="JG7" i="2"/>
  <c r="JH7" i="2"/>
  <c r="JG8" i="2"/>
  <c r="JH8" i="2"/>
  <c r="JG9" i="2"/>
  <c r="JH9" i="2"/>
  <c r="JG10" i="2"/>
  <c r="JH10" i="2"/>
  <c r="JG11" i="2"/>
  <c r="JH11" i="2"/>
  <c r="JG12" i="2"/>
  <c r="JH12" i="2"/>
  <c r="JG13" i="2"/>
  <c r="JH13" i="2"/>
  <c r="JG14" i="2"/>
  <c r="JH14" i="2"/>
  <c r="JG15" i="2"/>
  <c r="JH15" i="2"/>
  <c r="JG16" i="2"/>
  <c r="JH16" i="2"/>
  <c r="JG17" i="2"/>
  <c r="JH17" i="2"/>
  <c r="JG18" i="2"/>
  <c r="JH18" i="2"/>
  <c r="JG19" i="2"/>
  <c r="JH19" i="2"/>
  <c r="JG20" i="2"/>
  <c r="JH20" i="2"/>
  <c r="JG21" i="2"/>
  <c r="JH21" i="2"/>
  <c r="JG22" i="2"/>
  <c r="JH22" i="2"/>
  <c r="JG23" i="2"/>
  <c r="JH23" i="2"/>
  <c r="JG24" i="2"/>
  <c r="JH24" i="2"/>
  <c r="JG25" i="2"/>
  <c r="JH25" i="2"/>
  <c r="JG26" i="2"/>
  <c r="JH26" i="2"/>
  <c r="JG27" i="2"/>
  <c r="JH27" i="2"/>
  <c r="JG28" i="2"/>
  <c r="JH28" i="2"/>
  <c r="JG29" i="2"/>
  <c r="JH29" i="2"/>
  <c r="JG30" i="2"/>
  <c r="JH30" i="2"/>
  <c r="JG31" i="2"/>
  <c r="JH31" i="2"/>
  <c r="JG32" i="2"/>
  <c r="JH32" i="2"/>
  <c r="JG33" i="2"/>
  <c r="JH33" i="2"/>
  <c r="JG34" i="2"/>
  <c r="JH34" i="2"/>
  <c r="JG35" i="2"/>
  <c r="JH35" i="2"/>
  <c r="JG36" i="2"/>
  <c r="JH36" i="2"/>
  <c r="JG37" i="2"/>
  <c r="JH37" i="2"/>
  <c r="JG38" i="2"/>
  <c r="JH38" i="2"/>
  <c r="JG39" i="2"/>
  <c r="JH39" i="2"/>
  <c r="JG40" i="2"/>
  <c r="JH40" i="2"/>
  <c r="JG41" i="2"/>
  <c r="JH41" i="2"/>
  <c r="JG42" i="2"/>
  <c r="JH42" i="2"/>
  <c r="JE42" i="2"/>
  <c r="JD42" i="2"/>
  <c r="JE41" i="2"/>
  <c r="JD41" i="2"/>
  <c r="JE40" i="2"/>
  <c r="JD40" i="2"/>
  <c r="JE39" i="2"/>
  <c r="JD39" i="2"/>
  <c r="JE38" i="2"/>
  <c r="JD38" i="2"/>
  <c r="JE37" i="2"/>
  <c r="JD37" i="2"/>
  <c r="JE36" i="2"/>
  <c r="JD36" i="2"/>
  <c r="JE35" i="2"/>
  <c r="JD35" i="2"/>
  <c r="JE34" i="2"/>
  <c r="JD34" i="2"/>
  <c r="JE33" i="2"/>
  <c r="JD33" i="2"/>
  <c r="JE32" i="2"/>
  <c r="JD32" i="2"/>
  <c r="JE31" i="2"/>
  <c r="JD31" i="2"/>
  <c r="JE30" i="2"/>
  <c r="JD30" i="2"/>
  <c r="JE29" i="2"/>
  <c r="JD29" i="2"/>
  <c r="JE28" i="2"/>
  <c r="JD28" i="2"/>
  <c r="JE27" i="2"/>
  <c r="JD27" i="2"/>
  <c r="JE26" i="2"/>
  <c r="JD26" i="2"/>
  <c r="JE25" i="2"/>
  <c r="JD25" i="2"/>
  <c r="JE24" i="2"/>
  <c r="JD24" i="2"/>
  <c r="JE23" i="2"/>
  <c r="JD23" i="2"/>
  <c r="JE22" i="2"/>
  <c r="JD22" i="2"/>
  <c r="JE21" i="2"/>
  <c r="JD21" i="2"/>
  <c r="JE20" i="2"/>
  <c r="JD20" i="2"/>
  <c r="JE19" i="2"/>
  <c r="JD19" i="2"/>
  <c r="JE18" i="2"/>
  <c r="JD18" i="2"/>
  <c r="JE17" i="2"/>
  <c r="JD17" i="2"/>
  <c r="JE16" i="2"/>
  <c r="JD16" i="2"/>
  <c r="JE15" i="2"/>
  <c r="JD15" i="2"/>
  <c r="JE14" i="2"/>
  <c r="JD14" i="2"/>
  <c r="JE13" i="2"/>
  <c r="JD13" i="2"/>
  <c r="JE12" i="2"/>
  <c r="JD12" i="2"/>
  <c r="JE11" i="2"/>
  <c r="JD11" i="2"/>
  <c r="JE10" i="2"/>
  <c r="JD10" i="2"/>
  <c r="JE9" i="2"/>
  <c r="JD9" i="2"/>
  <c r="JE8" i="2"/>
  <c r="JD8" i="2"/>
  <c r="JE7" i="2"/>
  <c r="JD7" i="2"/>
  <c r="JE6" i="2"/>
  <c r="JD6" i="2"/>
  <c r="JE5" i="2"/>
  <c r="JD5" i="2"/>
  <c r="JE4" i="2"/>
  <c r="JD4" i="2"/>
  <c r="JE3" i="2"/>
  <c r="JD3" i="2"/>
  <c r="K52" i="24"/>
  <c r="G52" i="24"/>
  <c r="E52" i="24"/>
  <c r="D52" i="24"/>
  <c r="C52" i="24"/>
  <c r="K51" i="24"/>
  <c r="G51" i="24"/>
  <c r="E51" i="24"/>
  <c r="D51" i="24"/>
  <c r="C51" i="24"/>
  <c r="K50" i="24"/>
  <c r="G50" i="24"/>
  <c r="E50" i="24"/>
  <c r="D50" i="24"/>
  <c r="C50" i="24"/>
  <c r="K49" i="24"/>
  <c r="G49" i="24"/>
  <c r="E49" i="24"/>
  <c r="D49" i="24"/>
  <c r="C49" i="24"/>
  <c r="K48" i="24"/>
  <c r="G48" i="24"/>
  <c r="E48" i="24"/>
  <c r="D48" i="24"/>
  <c r="C48" i="24"/>
  <c r="K47" i="24"/>
  <c r="G47" i="24"/>
  <c r="E47" i="24"/>
  <c r="D47" i="24"/>
  <c r="C47" i="24"/>
  <c r="K46" i="24"/>
  <c r="G46" i="24"/>
  <c r="E46" i="24"/>
  <c r="D46" i="24"/>
  <c r="C46" i="24"/>
  <c r="K45" i="24"/>
  <c r="G45" i="24"/>
  <c r="E45" i="24"/>
  <c r="D45" i="24"/>
  <c r="C45" i="24"/>
  <c r="K44" i="24"/>
  <c r="G44" i="24"/>
  <c r="E44" i="24"/>
  <c r="D44" i="24"/>
  <c r="C44" i="24"/>
  <c r="K43" i="24"/>
  <c r="G43" i="24"/>
  <c r="E43" i="24"/>
  <c r="D43" i="24"/>
  <c r="C43" i="24"/>
  <c r="K42" i="24"/>
  <c r="G42" i="24"/>
  <c r="E42" i="24"/>
  <c r="D42" i="24"/>
  <c r="C42" i="24"/>
  <c r="K41" i="24"/>
  <c r="G41" i="24"/>
  <c r="E41" i="24"/>
  <c r="D41" i="24"/>
  <c r="C41" i="24"/>
  <c r="K40" i="24"/>
  <c r="G40" i="24"/>
  <c r="E40" i="24"/>
  <c r="D40" i="24"/>
  <c r="C40" i="24"/>
  <c r="K39" i="24"/>
  <c r="G39" i="24"/>
  <c r="E39" i="24"/>
  <c r="D39" i="24"/>
  <c r="C39" i="24"/>
  <c r="K38" i="24"/>
  <c r="G38" i="24"/>
  <c r="E38" i="24"/>
  <c r="D38" i="24"/>
  <c r="C38" i="24"/>
  <c r="K37" i="24"/>
  <c r="G37" i="24"/>
  <c r="E37" i="24"/>
  <c r="D37" i="24"/>
  <c r="C37" i="24"/>
  <c r="K36" i="24"/>
  <c r="G36" i="24"/>
  <c r="E36" i="24"/>
  <c r="D36" i="24"/>
  <c r="C36" i="24"/>
  <c r="K35" i="24"/>
  <c r="G35" i="24"/>
  <c r="E35" i="24"/>
  <c r="D35" i="24"/>
  <c r="C35" i="24"/>
  <c r="K34" i="24"/>
  <c r="G34" i="24"/>
  <c r="E34" i="24"/>
  <c r="D34" i="24"/>
  <c r="C34" i="24"/>
  <c r="K33" i="24"/>
  <c r="G33" i="24"/>
  <c r="E33" i="24"/>
  <c r="D33" i="24"/>
  <c r="C33" i="24"/>
  <c r="K32" i="24"/>
  <c r="G32" i="24"/>
  <c r="E32" i="24"/>
  <c r="D32" i="24"/>
  <c r="C32" i="24"/>
  <c r="K31" i="24"/>
  <c r="G31" i="24"/>
  <c r="E31" i="24"/>
  <c r="D31" i="24"/>
  <c r="C31" i="24"/>
  <c r="K30" i="24"/>
  <c r="G30" i="24"/>
  <c r="E30" i="24"/>
  <c r="D30" i="24"/>
  <c r="C30" i="24"/>
  <c r="K29" i="24"/>
  <c r="G29" i="24"/>
  <c r="E29" i="24"/>
  <c r="D29" i="24"/>
  <c r="C29" i="24"/>
  <c r="K28" i="24"/>
  <c r="G28" i="24"/>
  <c r="E28" i="24"/>
  <c r="D28" i="24"/>
  <c r="C28" i="24"/>
  <c r="K27" i="24"/>
  <c r="G27" i="24"/>
  <c r="E27" i="24"/>
  <c r="D27" i="24"/>
  <c r="C27" i="24"/>
  <c r="K26" i="24"/>
  <c r="G26" i="24"/>
  <c r="E26" i="24"/>
  <c r="D26" i="24"/>
  <c r="C26" i="24"/>
  <c r="K25" i="24"/>
  <c r="G25" i="24"/>
  <c r="E25" i="24"/>
  <c r="D25" i="24"/>
  <c r="C25" i="24"/>
  <c r="K24" i="24"/>
  <c r="G24" i="24"/>
  <c r="E24" i="24"/>
  <c r="D24" i="24"/>
  <c r="C24" i="24"/>
  <c r="K23" i="24"/>
  <c r="G23" i="24"/>
  <c r="E23" i="24"/>
  <c r="D23" i="24"/>
  <c r="C23" i="24"/>
  <c r="K22" i="24"/>
  <c r="G22" i="24"/>
  <c r="E22" i="24"/>
  <c r="D22" i="24"/>
  <c r="C22" i="24"/>
  <c r="K21" i="24"/>
  <c r="G21" i="24"/>
  <c r="E21" i="24"/>
  <c r="D21" i="24"/>
  <c r="C21" i="24"/>
  <c r="K20" i="24"/>
  <c r="G20" i="24"/>
  <c r="E20" i="24"/>
  <c r="D20" i="24"/>
  <c r="C20" i="24"/>
  <c r="K19" i="24"/>
  <c r="G19" i="24"/>
  <c r="E19" i="24"/>
  <c r="D19" i="24"/>
  <c r="C19" i="24"/>
  <c r="K18" i="24"/>
  <c r="G18" i="24"/>
  <c r="E18" i="24"/>
  <c r="D18" i="24"/>
  <c r="C18" i="24"/>
  <c r="K17" i="24"/>
  <c r="G17" i="24"/>
  <c r="E17" i="24"/>
  <c r="D17" i="24"/>
  <c r="C17" i="24"/>
  <c r="K16" i="24"/>
  <c r="G16" i="24"/>
  <c r="E16" i="24"/>
  <c r="D16" i="24"/>
  <c r="C16" i="24"/>
  <c r="K15" i="24"/>
  <c r="G15" i="24"/>
  <c r="E15" i="24"/>
  <c r="D15" i="24"/>
  <c r="C15" i="24"/>
  <c r="K14" i="24"/>
  <c r="G14" i="24"/>
  <c r="E14" i="24"/>
  <c r="D14" i="24"/>
  <c r="C14" i="24"/>
  <c r="K13" i="24"/>
  <c r="G13" i="24"/>
  <c r="E13" i="24"/>
  <c r="D13" i="24"/>
  <c r="C13" i="24"/>
  <c r="EH1" i="2"/>
  <c r="IB31" i="2"/>
  <c r="V17" i="24" l="1"/>
  <c r="Z19" i="24"/>
  <c r="V14" i="24"/>
  <c r="Z18" i="24"/>
  <c r="Z21" i="24"/>
  <c r="V22" i="24"/>
  <c r="Z26" i="24"/>
  <c r="Z29" i="24"/>
  <c r="V30" i="24"/>
  <c r="Z34" i="24"/>
  <c r="Z37" i="24"/>
  <c r="V38" i="24"/>
  <c r="Z42" i="24"/>
  <c r="Z45" i="24"/>
  <c r="Z50" i="24"/>
  <c r="V21" i="24"/>
  <c r="Z23" i="24"/>
  <c r="V29" i="24"/>
  <c r="Z31" i="24"/>
  <c r="V37" i="24"/>
  <c r="Z39" i="24"/>
  <c r="V45" i="24"/>
  <c r="Z47" i="24"/>
  <c r="V48" i="24"/>
  <c r="Z15" i="24"/>
  <c r="Z14" i="24"/>
  <c r="Z17" i="24"/>
  <c r="V18" i="24"/>
  <c r="Z22" i="24"/>
  <c r="Z25" i="24"/>
  <c r="V26" i="24"/>
  <c r="Z30" i="24"/>
  <c r="Z33" i="24"/>
  <c r="V34" i="24"/>
  <c r="Z38" i="24"/>
  <c r="Z41" i="24"/>
  <c r="Z46" i="24"/>
  <c r="Z49" i="24"/>
  <c r="V25" i="24"/>
  <c r="Z27" i="24"/>
  <c r="V33" i="24"/>
  <c r="Z35" i="24"/>
  <c r="V41" i="24"/>
  <c r="Z43" i="24"/>
  <c r="V49" i="24"/>
  <c r="Z51" i="24"/>
  <c r="V52" i="24"/>
  <c r="Z13" i="24"/>
  <c r="JJ5" i="2"/>
  <c r="JI4" i="2"/>
  <c r="JI8" i="2"/>
  <c r="JI10" i="2"/>
  <c r="JI12" i="2"/>
  <c r="JI14" i="2"/>
  <c r="JI16" i="2"/>
  <c r="JI18" i="2"/>
  <c r="JI20" i="2"/>
  <c r="JI22" i="2"/>
  <c r="JI24" i="2"/>
  <c r="JI26" i="2"/>
  <c r="JI28" i="2"/>
  <c r="JI30" i="2"/>
  <c r="JI32" i="2"/>
  <c r="JI34" i="2"/>
  <c r="JI36" i="2"/>
  <c r="JI6" i="2"/>
  <c r="DW3" i="2"/>
  <c r="JI38" i="2"/>
  <c r="JI40" i="2"/>
  <c r="JI42" i="2"/>
  <c r="JI5" i="2"/>
  <c r="JI7" i="2"/>
  <c r="JI9" i="2"/>
  <c r="JI13" i="2"/>
  <c r="JI15" i="2"/>
  <c r="JI17" i="2"/>
  <c r="JI19" i="2"/>
  <c r="JI21" i="2"/>
  <c r="JI23" i="2"/>
  <c r="JI25" i="2"/>
  <c r="JI27" i="2"/>
  <c r="JI29" i="2"/>
  <c r="JI31" i="2"/>
  <c r="JK3" i="2"/>
  <c r="JI11" i="2"/>
  <c r="JI33" i="2"/>
  <c r="JI35" i="2"/>
  <c r="JI37" i="2"/>
  <c r="JI39" i="2"/>
  <c r="JI41" i="2"/>
  <c r="JL32" i="2"/>
  <c r="JL33" i="2"/>
  <c r="JL34" i="2"/>
  <c r="JL35" i="2"/>
  <c r="JL36" i="2"/>
  <c r="JL37" i="2"/>
  <c r="JL38" i="2"/>
  <c r="JL39" i="2"/>
  <c r="JL40" i="2"/>
  <c r="JL41" i="2"/>
  <c r="JL42" i="2"/>
  <c r="JJ4" i="2"/>
  <c r="JL8" i="2"/>
  <c r="JL11" i="2"/>
  <c r="JL14" i="2"/>
  <c r="JL17" i="2"/>
  <c r="JL20" i="2"/>
  <c r="JL23" i="2"/>
  <c r="JL26" i="2"/>
  <c r="JL29" i="2"/>
  <c r="JL7" i="2"/>
  <c r="JL10" i="2"/>
  <c r="JL13" i="2"/>
  <c r="JL16" i="2"/>
  <c r="JL19" i="2"/>
  <c r="JL22" i="2"/>
  <c r="JL25" i="2"/>
  <c r="JL28" i="2"/>
  <c r="JL31" i="2"/>
  <c r="JL6" i="2"/>
  <c r="JL9" i="2"/>
  <c r="JL12" i="2"/>
  <c r="JL15" i="2"/>
  <c r="JL18" i="2"/>
  <c r="JL21" i="2"/>
  <c r="JL24" i="2"/>
  <c r="JL27" i="2"/>
  <c r="JL30" i="2"/>
  <c r="JJ3" i="2"/>
  <c r="JJ7" i="2"/>
  <c r="JJ9" i="2"/>
  <c r="JJ11" i="2"/>
  <c r="JJ13" i="2"/>
  <c r="JJ15" i="2"/>
  <c r="JJ17" i="2"/>
  <c r="JJ19" i="2"/>
  <c r="JJ21" i="2"/>
  <c r="JJ23" i="2"/>
  <c r="JJ25" i="2"/>
  <c r="JJ27" i="2"/>
  <c r="JJ29" i="2"/>
  <c r="JJ31" i="2"/>
  <c r="JJ33" i="2"/>
  <c r="JJ35" i="2"/>
  <c r="JJ37" i="2"/>
  <c r="JJ39" i="2"/>
  <c r="JJ41" i="2"/>
  <c r="JJ6" i="2"/>
  <c r="JJ8" i="2"/>
  <c r="JJ10" i="2"/>
  <c r="JJ12" i="2"/>
  <c r="JJ14" i="2"/>
  <c r="JJ16" i="2"/>
  <c r="JJ18" i="2"/>
  <c r="JJ20" i="2"/>
  <c r="JJ22" i="2"/>
  <c r="JJ24" i="2"/>
  <c r="JJ26" i="2"/>
  <c r="JJ28" i="2"/>
  <c r="JJ30" i="2"/>
  <c r="JJ32" i="2"/>
  <c r="JJ34" i="2"/>
  <c r="JJ36" i="2"/>
  <c r="JJ38" i="2"/>
  <c r="JJ40" i="2"/>
  <c r="JJ42" i="2"/>
  <c r="JK4" i="2"/>
  <c r="JK5" i="2"/>
  <c r="JL5" i="2"/>
  <c r="JK6" i="2"/>
  <c r="JK7" i="2"/>
  <c r="JK8" i="2"/>
  <c r="JK9" i="2"/>
  <c r="JK10" i="2"/>
  <c r="JK11" i="2"/>
  <c r="JK12" i="2"/>
  <c r="JK13" i="2"/>
  <c r="JK14" i="2"/>
  <c r="JK15" i="2"/>
  <c r="JK16" i="2"/>
  <c r="JK17" i="2"/>
  <c r="JK18" i="2"/>
  <c r="JK19" i="2"/>
  <c r="JK20" i="2"/>
  <c r="JK21" i="2"/>
  <c r="JK22" i="2"/>
  <c r="JK23" i="2"/>
  <c r="JK24" i="2"/>
  <c r="JK25" i="2"/>
  <c r="JK26" i="2"/>
  <c r="JK27" i="2"/>
  <c r="JK28" i="2"/>
  <c r="JK29" i="2"/>
  <c r="JK30" i="2"/>
  <c r="JK31" i="2"/>
  <c r="JK32" i="2"/>
  <c r="JK33" i="2"/>
  <c r="JK34" i="2"/>
  <c r="JK35" i="2"/>
  <c r="JK36" i="2"/>
  <c r="JK37" i="2"/>
  <c r="JK38" i="2"/>
  <c r="JK39" i="2"/>
  <c r="JK40" i="2"/>
  <c r="JK41" i="2"/>
  <c r="JK42" i="2"/>
  <c r="JL4" i="2"/>
  <c r="JL3" i="2"/>
  <c r="JI3" i="2"/>
  <c r="V46" i="24"/>
  <c r="JM4" i="2"/>
  <c r="JM5" i="2"/>
  <c r="JM6" i="2"/>
  <c r="JM7" i="2"/>
  <c r="JM8" i="2"/>
  <c r="JM9" i="2"/>
  <c r="JM10" i="2"/>
  <c r="JM11" i="2"/>
  <c r="JM12" i="2"/>
  <c r="JM13" i="2"/>
  <c r="JN13" i="2" s="1"/>
  <c r="JM14" i="2"/>
  <c r="JN14" i="2" s="1"/>
  <c r="JM15" i="2"/>
  <c r="JM16" i="2"/>
  <c r="JM17" i="2"/>
  <c r="JN17" i="2" s="1"/>
  <c r="JM18" i="2"/>
  <c r="JN18" i="2" s="1"/>
  <c r="JM19" i="2"/>
  <c r="JN19" i="2" s="1"/>
  <c r="JM20" i="2"/>
  <c r="JN20" i="2" s="1"/>
  <c r="JM21" i="2"/>
  <c r="JN21" i="2" s="1"/>
  <c r="JM22" i="2"/>
  <c r="JN22" i="2" s="1"/>
  <c r="JM23" i="2"/>
  <c r="JN23" i="2" s="1"/>
  <c r="JM24" i="2"/>
  <c r="JN24" i="2" s="1"/>
  <c r="JM25" i="2"/>
  <c r="JN25" i="2" s="1"/>
  <c r="JM26" i="2"/>
  <c r="JN26" i="2" s="1"/>
  <c r="JM27" i="2"/>
  <c r="JN27" i="2" s="1"/>
  <c r="JM28" i="2"/>
  <c r="JN28" i="2" s="1"/>
  <c r="JM29" i="2"/>
  <c r="JN29" i="2" s="1"/>
  <c r="JM30" i="2"/>
  <c r="JN30" i="2" s="1"/>
  <c r="JM31" i="2"/>
  <c r="JM32" i="2"/>
  <c r="JM34" i="2"/>
  <c r="JM36" i="2"/>
  <c r="JN36" i="2" s="1"/>
  <c r="JM38" i="2"/>
  <c r="JN38" i="2" s="1"/>
  <c r="V42" i="24"/>
  <c r="V50" i="24"/>
  <c r="V44" i="24"/>
  <c r="JM40" i="2"/>
  <c r="JN40" i="2" s="1"/>
  <c r="JM42" i="2"/>
  <c r="JM3" i="2"/>
  <c r="JM33" i="2"/>
  <c r="JN33" i="2" s="1"/>
  <c r="JM35" i="2"/>
  <c r="JN35" i="2" s="1"/>
  <c r="JM37" i="2"/>
  <c r="JN37" i="2" s="1"/>
  <c r="JM39" i="2"/>
  <c r="JN39" i="2" s="1"/>
  <c r="JM41" i="2"/>
  <c r="JN41" i="2" s="1"/>
  <c r="V13" i="24"/>
  <c r="V15" i="24"/>
  <c r="V19" i="24"/>
  <c r="V23" i="24"/>
  <c r="V27" i="24"/>
  <c r="V31" i="24"/>
  <c r="V35" i="24"/>
  <c r="V39" i="24"/>
  <c r="V43" i="24"/>
  <c r="V47" i="24"/>
  <c r="V51" i="24"/>
  <c r="Z16" i="24"/>
  <c r="Z20" i="24"/>
  <c r="Z24" i="24"/>
  <c r="Z28" i="24"/>
  <c r="Z32" i="24"/>
  <c r="Z36" i="24"/>
  <c r="Z40" i="24"/>
  <c r="Z44" i="24"/>
  <c r="Z48" i="24"/>
  <c r="Z52" i="24"/>
  <c r="V16" i="24"/>
  <c r="V20" i="24"/>
  <c r="V24" i="24"/>
  <c r="V28" i="24"/>
  <c r="V32" i="24"/>
  <c r="V36" i="24"/>
  <c r="V40" i="24"/>
  <c r="D67" i="24"/>
  <c r="AD24" i="24" l="1"/>
  <c r="AD47" i="24"/>
  <c r="AD38" i="24"/>
  <c r="AD28" i="24"/>
  <c r="AD27" i="24"/>
  <c r="AD26" i="24"/>
  <c r="AD48" i="24"/>
  <c r="AD16" i="24"/>
  <c r="AD23" i="24"/>
  <c r="AD30" i="24"/>
  <c r="AD37" i="24"/>
  <c r="AD29" i="24"/>
  <c r="AD21" i="24"/>
  <c r="AD52" i="24"/>
  <c r="AD20" i="24"/>
  <c r="AD53" i="24"/>
  <c r="AD35" i="24"/>
  <c r="AD50" i="24"/>
  <c r="AD18" i="24"/>
  <c r="AD41" i="24"/>
  <c r="AD33" i="24"/>
  <c r="AD25" i="24"/>
  <c r="AD17" i="24"/>
  <c r="AD40" i="24"/>
  <c r="AD31" i="24"/>
  <c r="AD22" i="24"/>
  <c r="AD45" i="24"/>
  <c r="AD44" i="24"/>
  <c r="AD51" i="24"/>
  <c r="AD43" i="24"/>
  <c r="AD42" i="24"/>
  <c r="AD49" i="24"/>
  <c r="AD32" i="24"/>
  <c r="AD39" i="24"/>
  <c r="AD46" i="24"/>
  <c r="AD14" i="24"/>
  <c r="AD36" i="24"/>
  <c r="AD19" i="24"/>
  <c r="AD34" i="24"/>
  <c r="AD15" i="24"/>
  <c r="JN31" i="2"/>
  <c r="JN16" i="2"/>
  <c r="JN7" i="2"/>
  <c r="JN5" i="2"/>
  <c r="JN34" i="2"/>
  <c r="JN15" i="2"/>
  <c r="JN10" i="2"/>
  <c r="JN4" i="2"/>
  <c r="JN42" i="2"/>
  <c r="JN11" i="2"/>
  <c r="JN8" i="2"/>
  <c r="JN6" i="2"/>
  <c r="JN3" i="2"/>
  <c r="JN32" i="2"/>
  <c r="JN9" i="2"/>
  <c r="JN12" i="2"/>
  <c r="S64" i="24"/>
  <c r="AD13" i="24" l="1"/>
  <c r="AD12" i="24" s="1"/>
  <c r="AD11" i="24" s="1"/>
  <c r="AD10" i="24" s="1"/>
  <c r="EA39" i="2" l="1"/>
  <c r="EA35" i="2"/>
  <c r="EA31" i="2"/>
  <c r="EA27" i="2"/>
  <c r="EA23" i="2"/>
  <c r="EA19" i="2"/>
  <c r="EA15" i="2"/>
  <c r="EA11" i="2"/>
  <c r="EA7" i="2"/>
  <c r="EA3" i="2"/>
  <c r="EA42" i="2"/>
  <c r="DZ42" i="2"/>
  <c r="EA41" i="2"/>
  <c r="DZ41" i="2"/>
  <c r="EA40" i="2"/>
  <c r="DZ40" i="2"/>
  <c r="DZ39" i="2"/>
  <c r="EA38" i="2"/>
  <c r="DZ38" i="2"/>
  <c r="EA37" i="2"/>
  <c r="DZ37" i="2"/>
  <c r="EA36" i="2"/>
  <c r="DZ36" i="2"/>
  <c r="DZ35" i="2"/>
  <c r="EA34" i="2"/>
  <c r="DZ34" i="2"/>
  <c r="EA33" i="2"/>
  <c r="DZ33" i="2"/>
  <c r="EA32" i="2"/>
  <c r="DZ32" i="2"/>
  <c r="DZ31" i="2"/>
  <c r="EA30" i="2"/>
  <c r="DZ30" i="2"/>
  <c r="EA29" i="2"/>
  <c r="DZ29" i="2"/>
  <c r="EA28" i="2"/>
  <c r="DZ28" i="2"/>
  <c r="DZ27" i="2"/>
  <c r="EA26" i="2"/>
  <c r="DZ26" i="2"/>
  <c r="EA25" i="2"/>
  <c r="DZ25" i="2"/>
  <c r="EA24" i="2"/>
  <c r="DZ24" i="2"/>
  <c r="DZ23" i="2"/>
  <c r="EA22" i="2"/>
  <c r="DZ22" i="2"/>
  <c r="EA21" i="2"/>
  <c r="DZ21" i="2"/>
  <c r="EA20" i="2"/>
  <c r="DZ20" i="2"/>
  <c r="DZ19" i="2"/>
  <c r="EA18" i="2"/>
  <c r="DZ18" i="2"/>
  <c r="EA17" i="2"/>
  <c r="DZ17" i="2"/>
  <c r="EA16" i="2"/>
  <c r="DZ16" i="2"/>
  <c r="DZ15" i="2"/>
  <c r="EA14" i="2"/>
  <c r="DZ14" i="2"/>
  <c r="EA13" i="2"/>
  <c r="DZ13" i="2"/>
  <c r="EA12" i="2"/>
  <c r="DZ12" i="2"/>
  <c r="DZ11" i="2"/>
  <c r="EA10" i="2"/>
  <c r="DZ10" i="2"/>
  <c r="EA9" i="2"/>
  <c r="DZ9" i="2"/>
  <c r="EA8" i="2"/>
  <c r="DZ8" i="2"/>
  <c r="DZ7" i="2"/>
  <c r="EA6" i="2"/>
  <c r="DZ6" i="2"/>
  <c r="EA5" i="2"/>
  <c r="DZ5" i="2"/>
  <c r="EA4" i="2"/>
  <c r="DZ4" i="2"/>
  <c r="DZ3" i="2"/>
  <c r="DW42" i="2"/>
  <c r="DW40" i="2"/>
  <c r="DW38" i="2"/>
  <c r="DW36" i="2"/>
  <c r="DW34" i="2"/>
  <c r="DW32" i="2"/>
  <c r="DW30" i="2"/>
  <c r="DW28" i="2"/>
  <c r="DX27" i="2"/>
  <c r="DW26" i="2"/>
  <c r="DW24" i="2"/>
  <c r="DW22" i="2"/>
  <c r="DW20" i="2"/>
  <c r="DW18" i="2"/>
  <c r="DW16" i="2"/>
  <c r="DW14" i="2"/>
  <c r="DW12" i="2"/>
  <c r="DW10" i="2"/>
  <c r="DW8" i="2"/>
  <c r="DW6" i="2"/>
  <c r="DW4" i="2"/>
  <c r="DX13" i="2" l="1"/>
  <c r="DX23" i="2"/>
  <c r="DX31" i="2"/>
  <c r="DX35" i="2"/>
  <c r="DX39" i="2"/>
  <c r="EF39" i="2" s="1"/>
  <c r="DX9" i="2"/>
  <c r="DX17" i="2"/>
  <c r="DX21" i="2"/>
  <c r="DX25" i="2"/>
  <c r="DX29" i="2"/>
  <c r="DX33" i="2"/>
  <c r="DX37" i="2"/>
  <c r="DX41" i="2"/>
  <c r="DX4" i="2"/>
  <c r="EE4" i="2" s="1"/>
  <c r="DX6" i="2"/>
  <c r="EE6" i="2" s="1"/>
  <c r="DX8" i="2"/>
  <c r="EE8" i="2" s="1"/>
  <c r="DX10" i="2"/>
  <c r="ED10" i="2" s="1"/>
  <c r="DX12" i="2"/>
  <c r="EE12" i="2" s="1"/>
  <c r="DX14" i="2"/>
  <c r="EE14" i="2" s="1"/>
  <c r="DX16" i="2"/>
  <c r="EE16" i="2" s="1"/>
  <c r="DW5" i="2"/>
  <c r="DW7" i="2"/>
  <c r="DW9" i="2"/>
  <c r="DW11" i="2"/>
  <c r="DW13" i="2"/>
  <c r="DW15" i="2"/>
  <c r="DW17" i="2"/>
  <c r="DW19" i="2"/>
  <c r="DW21" i="2"/>
  <c r="EF21" i="2" s="1"/>
  <c r="DW23" i="2"/>
  <c r="ED23" i="2" s="1"/>
  <c r="DW25" i="2"/>
  <c r="DW27" i="2"/>
  <c r="EE27" i="2" s="1"/>
  <c r="DW29" i="2"/>
  <c r="EF29" i="2" s="1"/>
  <c r="DW31" i="2"/>
  <c r="DW33" i="2"/>
  <c r="DW35" i="2"/>
  <c r="EF35" i="2" s="1"/>
  <c r="DW37" i="2"/>
  <c r="EF37" i="2" s="1"/>
  <c r="DW39" i="2"/>
  <c r="DW41" i="2"/>
  <c r="DX7" i="2"/>
  <c r="DX11" i="2"/>
  <c r="DX15" i="2"/>
  <c r="EE15" i="2" s="1"/>
  <c r="DX19" i="2"/>
  <c r="DX18" i="2"/>
  <c r="EE18" i="2" s="1"/>
  <c r="DX20" i="2"/>
  <c r="EE20" i="2" s="1"/>
  <c r="DX22" i="2"/>
  <c r="EE22" i="2" s="1"/>
  <c r="DX24" i="2"/>
  <c r="EE24" i="2" s="1"/>
  <c r="DX26" i="2"/>
  <c r="EE26" i="2" s="1"/>
  <c r="DX28" i="2"/>
  <c r="EE28" i="2" s="1"/>
  <c r="DX30" i="2"/>
  <c r="EE30" i="2" s="1"/>
  <c r="DX32" i="2"/>
  <c r="EE32" i="2" s="1"/>
  <c r="DX34" i="2"/>
  <c r="EE34" i="2" s="1"/>
  <c r="DX36" i="2"/>
  <c r="EE36" i="2" s="1"/>
  <c r="DX38" i="2"/>
  <c r="EE38" i="2" s="1"/>
  <c r="DX40" i="2"/>
  <c r="EE40" i="2" s="1"/>
  <c r="DX42" i="2"/>
  <c r="EE42" i="2" s="1"/>
  <c r="DX5" i="2"/>
  <c r="EF8" i="2"/>
  <c r="EF14" i="2"/>
  <c r="DX3" i="2"/>
  <c r="EE9" i="2" l="1"/>
  <c r="EF6" i="2"/>
  <c r="ED32" i="2"/>
  <c r="EE31" i="2"/>
  <c r="ED6" i="2"/>
  <c r="ED34" i="2"/>
  <c r="ED24" i="2"/>
  <c r="EF23" i="2"/>
  <c r="ED14" i="2"/>
  <c r="EF15" i="2"/>
  <c r="EE23" i="2"/>
  <c r="ED4" i="2"/>
  <c r="EF34" i="2"/>
  <c r="EF26" i="2"/>
  <c r="EE10" i="2"/>
  <c r="ED18" i="2"/>
  <c r="EF16" i="2"/>
  <c r="EF4" i="2"/>
  <c r="EE39" i="2"/>
  <c r="ED28" i="2"/>
  <c r="ED12" i="2"/>
  <c r="ED31" i="2"/>
  <c r="EF31" i="2"/>
  <c r="ED39" i="2"/>
  <c r="EE29" i="2"/>
  <c r="EE7" i="2"/>
  <c r="EF18" i="2"/>
  <c r="EF42" i="2"/>
  <c r="ED21" i="2"/>
  <c r="ED8" i="2"/>
  <c r="ED26" i="2"/>
  <c r="ED15" i="2"/>
  <c r="ED11" i="2"/>
  <c r="EE13" i="2"/>
  <c r="ED36" i="2"/>
  <c r="ED16" i="2"/>
  <c r="ED20" i="2"/>
  <c r="ED19" i="2"/>
  <c r="ED29" i="2"/>
  <c r="ED13" i="2"/>
  <c r="EF13" i="2"/>
  <c r="EF12" i="2"/>
  <c r="EF5" i="2"/>
  <c r="EF10" i="2"/>
  <c r="EF3" i="2"/>
  <c r="ED27" i="2"/>
  <c r="EF27" i="2"/>
  <c r="ED35" i="2"/>
  <c r="EE37" i="2"/>
  <c r="EE21" i="2"/>
  <c r="EF11" i="2"/>
  <c r="EE19" i="2"/>
  <c r="ED41" i="2"/>
  <c r="EE25" i="2"/>
  <c r="EE11" i="2"/>
  <c r="EF7" i="2"/>
  <c r="EF33" i="2"/>
  <c r="EF17" i="2"/>
  <c r="EE35" i="2"/>
  <c r="ED30" i="2"/>
  <c r="ED7" i="2"/>
  <c r="ED22" i="2"/>
  <c r="ED37" i="2"/>
  <c r="EF9" i="2"/>
  <c r="EF24" i="2"/>
  <c r="EF28" i="2"/>
  <c r="ED5" i="2"/>
  <c r="EE5" i="2"/>
  <c r="EF20" i="2"/>
  <c r="EF36" i="2"/>
  <c r="EF38" i="2"/>
  <c r="EF30" i="2"/>
  <c r="EF22" i="2"/>
  <c r="EE33" i="2"/>
  <c r="ED33" i="2"/>
  <c r="ED25" i="2"/>
  <c r="ED17" i="2"/>
  <c r="ED9" i="2"/>
  <c r="EF25" i="2"/>
  <c r="EE41" i="2"/>
  <c r="EF41" i="2"/>
  <c r="EF40" i="2"/>
  <c r="EF19" i="2"/>
  <c r="EE17" i="2"/>
  <c r="EF32" i="2"/>
  <c r="ED40" i="2"/>
  <c r="ED38" i="2"/>
  <c r="ED42" i="2"/>
  <c r="CU31" i="2" l="1"/>
  <c r="K29" i="2" l="1"/>
  <c r="K28" i="2"/>
  <c r="K25" i="2"/>
  <c r="K22" i="2"/>
  <c r="K19" i="2"/>
  <c r="K13" i="2"/>
  <c r="K12" i="2"/>
  <c r="K5" i="2"/>
  <c r="K7" i="2" l="1"/>
  <c r="K27" i="2"/>
  <c r="K8" i="2"/>
  <c r="K6" i="2"/>
  <c r="K14" i="2"/>
  <c r="K4" i="2"/>
  <c r="K11" i="2"/>
  <c r="K15" i="2"/>
  <c r="K26" i="2"/>
  <c r="K21" i="2"/>
  <c r="K20" i="2"/>
  <c r="K18" i="2"/>
  <c r="DY31" i="2" l="1"/>
  <c r="JF31" i="2" s="1"/>
  <c r="DY19" i="2"/>
  <c r="JF19" i="2" s="1"/>
  <c r="DV26" i="2"/>
  <c r="JC26" i="2" s="1"/>
  <c r="DY24" i="2"/>
  <c r="JF24" i="2" s="1"/>
  <c r="DY32" i="2"/>
  <c r="JF32" i="2" s="1"/>
  <c r="DV38" i="2"/>
  <c r="JC38" i="2" s="1"/>
  <c r="DY40" i="2"/>
  <c r="JF40" i="2" s="1"/>
  <c r="DV20" i="2"/>
  <c r="JC20" i="2" s="1"/>
  <c r="DV27" i="2"/>
  <c r="JC27" i="2" s="1"/>
  <c r="DV31" i="2"/>
  <c r="JC31" i="2" s="1"/>
  <c r="DY29" i="2"/>
  <c r="JF29" i="2" s="1"/>
  <c r="DV41" i="2"/>
  <c r="JC41" i="2" s="1"/>
  <c r="DV40" i="2"/>
  <c r="JC40" i="2" s="1"/>
  <c r="DV39" i="2"/>
  <c r="JC39" i="2" s="1"/>
  <c r="DV37" i="2"/>
  <c r="JC37" i="2" s="1"/>
  <c r="DV36" i="2"/>
  <c r="JC36" i="2" s="1"/>
  <c r="DV35" i="2"/>
  <c r="JC35" i="2" s="1"/>
  <c r="DV34" i="2"/>
  <c r="JC34" i="2" s="1"/>
  <c r="DV33" i="2"/>
  <c r="JC33" i="2" s="1"/>
  <c r="DV32" i="2"/>
  <c r="JC32" i="2" s="1"/>
  <c r="DV30" i="2"/>
  <c r="JC30" i="2" s="1"/>
  <c r="DV29" i="2"/>
  <c r="JC29" i="2" s="1"/>
  <c r="DV28" i="2"/>
  <c r="JC28" i="2" s="1"/>
  <c r="DV25" i="2"/>
  <c r="JC25" i="2" s="1"/>
  <c r="DV24" i="2"/>
  <c r="JC24" i="2" s="1"/>
  <c r="DV23" i="2"/>
  <c r="JC23" i="2" s="1"/>
  <c r="DV21" i="2"/>
  <c r="JC21" i="2" s="1"/>
  <c r="DV19" i="2"/>
  <c r="JC19" i="2" s="1"/>
  <c r="DV18" i="2"/>
  <c r="JC18" i="2" s="1"/>
  <c r="DV17" i="2"/>
  <c r="JC17" i="2" s="1"/>
  <c r="DV16" i="2"/>
  <c r="JC16" i="2" s="1"/>
  <c r="DV15" i="2"/>
  <c r="JC15" i="2" s="1"/>
  <c r="DV14" i="2"/>
  <c r="JC14" i="2" s="1"/>
  <c r="DV13" i="2"/>
  <c r="JC13" i="2" s="1"/>
  <c r="DV12" i="2"/>
  <c r="JC12" i="2" s="1"/>
  <c r="DV11" i="2"/>
  <c r="JC11" i="2" s="1"/>
  <c r="DV9" i="2"/>
  <c r="JC9" i="2" s="1"/>
  <c r="DV8" i="2"/>
  <c r="JC8" i="2" s="1"/>
  <c r="DV7" i="2"/>
  <c r="JC7" i="2" s="1"/>
  <c r="DV6" i="2"/>
  <c r="JC6" i="2" s="1"/>
  <c r="DV5" i="2"/>
  <c r="JC5" i="2" s="1"/>
  <c r="DV3" i="2"/>
  <c r="DY42" i="2"/>
  <c r="JF42" i="2" s="1"/>
  <c r="DY41" i="2"/>
  <c r="JF41" i="2" s="1"/>
  <c r="DY39" i="2"/>
  <c r="JF39" i="2" s="1"/>
  <c r="DY38" i="2"/>
  <c r="JF38" i="2" s="1"/>
  <c r="DY36" i="2"/>
  <c r="JF36" i="2" s="1"/>
  <c r="DY35" i="2"/>
  <c r="JF35" i="2" s="1"/>
  <c r="DY34" i="2"/>
  <c r="JF34" i="2" s="1"/>
  <c r="DY30" i="2"/>
  <c r="JF30" i="2" s="1"/>
  <c r="DY27" i="2"/>
  <c r="JF27" i="2" s="1"/>
  <c r="DY26" i="2"/>
  <c r="JF26" i="2" s="1"/>
  <c r="DY25" i="2"/>
  <c r="JF25" i="2" s="1"/>
  <c r="DY23" i="2"/>
  <c r="JF23" i="2" s="1"/>
  <c r="DY22" i="2"/>
  <c r="JF22" i="2" s="1"/>
  <c r="DY20" i="2"/>
  <c r="JF20" i="2" s="1"/>
  <c r="DY18" i="2"/>
  <c r="JF18" i="2" s="1"/>
  <c r="DY17" i="2"/>
  <c r="JF17" i="2" s="1"/>
  <c r="DY16" i="2"/>
  <c r="JF16" i="2" s="1"/>
  <c r="DY15" i="2"/>
  <c r="JF15" i="2" s="1"/>
  <c r="DY13" i="2"/>
  <c r="JF13" i="2" s="1"/>
  <c r="DY11" i="2"/>
  <c r="JF11" i="2" s="1"/>
  <c r="DY10" i="2"/>
  <c r="JF10" i="2" s="1"/>
  <c r="DY8" i="2"/>
  <c r="JF8" i="2" s="1"/>
  <c r="DY7" i="2"/>
  <c r="JF7" i="2" s="1"/>
  <c r="DY6" i="2"/>
  <c r="JF6" i="2" s="1"/>
  <c r="DY5" i="2"/>
  <c r="JF5" i="2" s="1"/>
  <c r="DY4" i="2"/>
  <c r="JF4" i="2" s="1"/>
  <c r="DY3" i="2"/>
  <c r="EE3" i="2"/>
  <c r="JC3" i="2" l="1"/>
  <c r="JF3" i="2"/>
  <c r="ED3" i="2"/>
  <c r="EG40" i="2"/>
  <c r="EG36" i="2"/>
  <c r="EG32" i="2"/>
  <c r="EG28" i="2"/>
  <c r="EG24" i="2"/>
  <c r="EG20" i="2"/>
  <c r="EG39" i="2"/>
  <c r="EG35" i="2"/>
  <c r="EG27" i="2"/>
  <c r="EG23" i="2"/>
  <c r="EG19" i="2"/>
  <c r="EG14" i="2"/>
  <c r="EG17" i="2"/>
  <c r="EG38" i="2"/>
  <c r="EG30" i="2"/>
  <c r="EG26" i="2"/>
  <c r="EG22" i="2"/>
  <c r="EG18" i="2"/>
  <c r="EG13" i="2"/>
  <c r="EG41" i="2"/>
  <c r="EG37" i="2"/>
  <c r="EG33" i="2"/>
  <c r="EG29" i="2"/>
  <c r="EG25" i="2"/>
  <c r="EG21" i="2"/>
  <c r="EC41" i="2"/>
  <c r="EC37" i="2"/>
  <c r="EC32" i="2"/>
  <c r="EC28" i="2"/>
  <c r="EC24" i="2"/>
  <c r="EC20" i="2"/>
  <c r="EC16" i="2"/>
  <c r="EC12" i="2"/>
  <c r="EC8" i="2"/>
  <c r="EC4" i="2"/>
  <c r="EB40" i="2"/>
  <c r="EB36" i="2"/>
  <c r="EB32" i="2"/>
  <c r="EB28" i="2"/>
  <c r="EB24" i="2"/>
  <c r="EB20" i="2"/>
  <c r="EB15" i="2"/>
  <c r="EB11" i="2"/>
  <c r="EB7" i="2"/>
  <c r="EB3" i="2"/>
  <c r="EC40" i="2"/>
  <c r="EC36" i="2"/>
  <c r="EC31" i="2"/>
  <c r="EC27" i="2"/>
  <c r="EC23" i="2"/>
  <c r="EC19" i="2"/>
  <c r="EC15" i="2"/>
  <c r="EC11" i="2"/>
  <c r="EC7" i="2"/>
  <c r="EC3" i="2"/>
  <c r="EB39" i="2"/>
  <c r="EB35" i="2"/>
  <c r="EB31" i="2"/>
  <c r="EB27" i="2"/>
  <c r="EB23" i="2"/>
  <c r="EB19" i="2"/>
  <c r="EB14" i="2"/>
  <c r="EB10" i="2"/>
  <c r="EB6" i="2"/>
  <c r="EC34" i="2"/>
  <c r="EB17" i="2"/>
  <c r="EC39" i="2"/>
  <c r="EC35" i="2"/>
  <c r="EC30" i="2"/>
  <c r="EC26" i="2"/>
  <c r="EC22" i="2"/>
  <c r="EC18" i="2"/>
  <c r="EC14" i="2"/>
  <c r="EC10" i="2"/>
  <c r="EC6" i="2"/>
  <c r="EB42" i="2"/>
  <c r="EB38" i="2"/>
  <c r="EB34" i="2"/>
  <c r="EB30" i="2"/>
  <c r="EB26" i="2"/>
  <c r="EB22" i="2"/>
  <c r="EB18" i="2"/>
  <c r="EB13" i="2"/>
  <c r="EB9" i="2"/>
  <c r="EB5" i="2"/>
  <c r="EC42" i="2"/>
  <c r="EC38" i="2"/>
  <c r="EC33" i="2"/>
  <c r="EC29" i="2"/>
  <c r="EC25" i="2"/>
  <c r="EC21" i="2"/>
  <c r="EC17" i="2"/>
  <c r="EC13" i="2"/>
  <c r="EC9" i="2"/>
  <c r="EC5" i="2"/>
  <c r="EB41" i="2"/>
  <c r="EB37" i="2"/>
  <c r="EB33" i="2"/>
  <c r="EB29" i="2"/>
  <c r="EB25" i="2"/>
  <c r="EB21" i="2"/>
  <c r="EB16" i="2"/>
  <c r="EB12" i="2"/>
  <c r="EB8" i="2"/>
  <c r="EB4" i="2"/>
  <c r="DY33" i="2"/>
  <c r="JF33" i="2" s="1"/>
  <c r="DV22" i="2"/>
  <c r="JC22" i="2" s="1"/>
  <c r="DV42" i="2"/>
  <c r="JC42" i="2" s="1"/>
  <c r="DY28" i="2"/>
  <c r="JF28" i="2" s="1"/>
  <c r="DY21" i="2"/>
  <c r="JF21" i="2" s="1"/>
  <c r="DY37" i="2"/>
  <c r="JF37" i="2" s="1"/>
  <c r="DY9" i="2"/>
  <c r="JF9" i="2" s="1"/>
  <c r="DY14" i="2"/>
  <c r="JF14" i="2" s="1"/>
  <c r="DV10" i="2"/>
  <c r="JC10" i="2" s="1"/>
  <c r="DY12" i="2"/>
  <c r="JF12" i="2" s="1"/>
  <c r="DV4" i="2"/>
  <c r="JC4" i="2" s="1"/>
  <c r="EN28" i="2" l="1"/>
  <c r="EQ26" i="2"/>
  <c r="EN19" i="2"/>
  <c r="EQ29" i="2"/>
  <c r="EQ7" i="2"/>
  <c r="EQ22" i="2"/>
  <c r="EQ21" i="2"/>
  <c r="EN27" i="2"/>
  <c r="EN12" i="2"/>
  <c r="EN22" i="2"/>
  <c r="EN8" i="2"/>
  <c r="EQ4" i="2"/>
  <c r="EQ20" i="2"/>
  <c r="EQ8" i="2"/>
  <c r="EQ18" i="2"/>
  <c r="EQ19" i="2"/>
  <c r="EN6" i="2"/>
  <c r="EN14" i="2"/>
  <c r="EN5" i="2"/>
  <c r="EN4" i="2"/>
  <c r="EQ25" i="2"/>
  <c r="EN11" i="2"/>
  <c r="EN21" i="2"/>
  <c r="EQ14" i="2"/>
  <c r="EQ27" i="2"/>
  <c r="EQ11" i="2"/>
  <c r="EQ15" i="2"/>
  <c r="EQ5" i="2"/>
  <c r="EN20" i="2"/>
  <c r="EN25" i="2"/>
  <c r="EN29" i="2"/>
  <c r="EN18" i="2"/>
  <c r="EN13" i="2"/>
  <c r="EQ12" i="2"/>
  <c r="EQ28" i="2"/>
  <c r="EQ6" i="2"/>
  <c r="EQ13" i="2"/>
  <c r="EN7" i="2"/>
  <c r="EN26" i="2"/>
  <c r="EN15" i="2"/>
  <c r="EM29" i="2"/>
  <c r="EM21" i="2"/>
  <c r="EM11" i="2"/>
  <c r="EM15" i="2"/>
  <c r="EM7" i="2"/>
  <c r="EM27" i="2"/>
  <c r="EM18" i="2"/>
  <c r="EM13" i="2"/>
  <c r="EM5" i="2"/>
  <c r="EM4" i="2"/>
  <c r="EM26" i="2"/>
  <c r="EM28" i="2"/>
  <c r="EM19" i="2"/>
  <c r="EM12" i="2"/>
  <c r="EM6" i="2"/>
  <c r="EM25" i="2"/>
  <c r="EM20" i="2"/>
  <c r="EM22" i="2"/>
  <c r="EM14" i="2"/>
  <c r="EM8" i="2"/>
  <c r="EJ25" i="2"/>
  <c r="EJ26" i="2"/>
  <c r="EK22" i="2"/>
  <c r="EL18" i="2"/>
  <c r="EK20" i="2"/>
  <c r="EK14" i="2"/>
  <c r="EJ11" i="2"/>
  <c r="EK4" i="2"/>
  <c r="EK18" i="2"/>
  <c r="EJ20" i="2"/>
  <c r="EJ14" i="2"/>
  <c r="EK12" i="2"/>
  <c r="EL11" i="2"/>
  <c r="EK5" i="2"/>
  <c r="EL6" i="2"/>
  <c r="EL4" i="2"/>
  <c r="EJ12" i="2"/>
  <c r="EJ5" i="2"/>
  <c r="EL25" i="2"/>
  <c r="EL26" i="2"/>
  <c r="EJ22" i="2"/>
  <c r="EL14" i="2"/>
  <c r="EK11" i="2"/>
  <c r="EK6" i="2"/>
  <c r="EK25" i="2"/>
  <c r="EK26" i="2"/>
  <c r="EL22" i="2"/>
  <c r="EJ18" i="2"/>
  <c r="EL20" i="2"/>
  <c r="EJ6" i="2"/>
  <c r="EJ4" i="2"/>
  <c r="EL12" i="2"/>
  <c r="EL5" i="2"/>
  <c r="EK15" i="2"/>
  <c r="EL29" i="2"/>
  <c r="EJ19" i="2"/>
  <c r="EK27" i="2"/>
  <c r="EK28" i="2"/>
  <c r="EK21" i="2"/>
  <c r="EJ29" i="2"/>
  <c r="EJ15" i="2"/>
  <c r="EL27" i="2"/>
  <c r="EJ21" i="2"/>
  <c r="EJ13" i="2"/>
  <c r="EL8" i="2"/>
  <c r="EK7" i="2"/>
  <c r="EJ8" i="2"/>
  <c r="EK29" i="2"/>
  <c r="EL19" i="2"/>
  <c r="EL28" i="2"/>
  <c r="EL21" i="2"/>
  <c r="EK8" i="2"/>
  <c r="EL15" i="2"/>
  <c r="EJ7" i="2"/>
  <c r="EJ28" i="2"/>
  <c r="EL13" i="2"/>
  <c r="EL7" i="2"/>
  <c r="EK19" i="2"/>
  <c r="EJ27" i="2"/>
  <c r="EK13" i="2"/>
  <c r="EU28" i="2"/>
  <c r="ET5" i="2"/>
  <c r="ET8" i="2"/>
  <c r="ET22" i="2"/>
  <c r="ET21" i="2"/>
  <c r="EU6" i="2"/>
  <c r="ET6" i="2"/>
  <c r="EU7" i="2"/>
  <c r="EU26" i="2"/>
  <c r="ET4" i="2"/>
  <c r="ET13" i="2"/>
  <c r="EU21" i="2"/>
  <c r="EU8" i="2"/>
  <c r="ET28" i="2"/>
  <c r="ET18" i="2"/>
  <c r="ET7" i="2"/>
  <c r="ET29" i="2"/>
  <c r="ET15" i="2"/>
  <c r="EU27" i="2"/>
  <c r="EU13" i="2"/>
  <c r="EU14" i="2"/>
  <c r="EU22" i="2"/>
  <c r="EU19" i="2"/>
  <c r="ET19" i="2"/>
  <c r="EU18" i="2"/>
  <c r="ET27" i="2"/>
  <c r="EU29" i="2"/>
  <c r="ET11" i="2"/>
  <c r="EU4" i="2"/>
  <c r="EU5" i="2"/>
  <c r="EU20" i="2"/>
  <c r="EU15" i="2"/>
  <c r="EU25" i="2"/>
  <c r="ET26" i="2"/>
  <c r="EU11" i="2"/>
  <c r="ET12" i="2"/>
  <c r="ET14" i="2"/>
  <c r="ET20" i="2"/>
  <c r="EU12" i="2"/>
  <c r="ET25" i="2"/>
  <c r="EP28" i="2"/>
  <c r="EP8" i="2"/>
  <c r="EP25" i="2"/>
  <c r="EP18" i="2"/>
  <c r="EP12" i="2"/>
  <c r="EP6" i="2"/>
  <c r="EP5" i="2"/>
  <c r="EP26" i="2"/>
  <c r="EP20" i="2"/>
  <c r="EP11" i="2"/>
  <c r="EP15" i="2"/>
  <c r="EP22" i="2"/>
  <c r="EP19" i="2"/>
  <c r="EP21" i="2"/>
  <c r="EP13" i="2"/>
  <c r="EP7" i="2"/>
  <c r="EP27" i="2"/>
  <c r="EP29" i="2"/>
  <c r="EP14" i="2"/>
  <c r="EP4" i="2"/>
  <c r="EG8" i="2"/>
  <c r="E15" i="2" s="1"/>
  <c r="E12" i="2"/>
  <c r="C12" i="2"/>
  <c r="D12" i="2"/>
  <c r="EG10" i="2"/>
  <c r="D19" i="2" s="1"/>
  <c r="E18" i="2"/>
  <c r="C18" i="2"/>
  <c r="D18" i="2"/>
  <c r="EG12" i="2"/>
  <c r="E4" i="2"/>
  <c r="C4" i="2"/>
  <c r="D4" i="2"/>
  <c r="EG5" i="2"/>
  <c r="D26" i="2"/>
  <c r="E26" i="2"/>
  <c r="C26" i="2"/>
  <c r="EG42" i="2"/>
  <c r="D15" i="2"/>
  <c r="EG31" i="2"/>
  <c r="D29" i="2" s="1"/>
  <c r="EG7" i="2"/>
  <c r="E27" i="2" s="1"/>
  <c r="E25" i="2"/>
  <c r="C25" i="2"/>
  <c r="D25" i="2"/>
  <c r="EG16" i="2"/>
  <c r="EG9" i="2"/>
  <c r="E6" i="2"/>
  <c r="D6" i="2"/>
  <c r="C6" i="2"/>
  <c r="EG11" i="2"/>
  <c r="D14" i="2"/>
  <c r="E14" i="2"/>
  <c r="C14" i="2"/>
  <c r="EG34" i="2"/>
  <c r="E22" i="2"/>
  <c r="C22" i="2"/>
  <c r="D22" i="2"/>
  <c r="EG4" i="2"/>
  <c r="D20" i="2"/>
  <c r="E20" i="2"/>
  <c r="C20" i="2"/>
  <c r="EG6" i="2"/>
  <c r="D11" i="2"/>
  <c r="E11" i="2"/>
  <c r="C11" i="2"/>
  <c r="EG15" i="2"/>
  <c r="E19" i="2"/>
  <c r="C19" i="2"/>
  <c r="EG3" i="2"/>
  <c r="E5" i="2"/>
  <c r="D5" i="2"/>
  <c r="C5" i="2"/>
  <c r="N14" i="2"/>
  <c r="N5" i="2"/>
  <c r="M5" i="2"/>
  <c r="N27" i="2"/>
  <c r="N22" i="2"/>
  <c r="N19" i="2"/>
  <c r="N8" i="2"/>
  <c r="N11" i="2"/>
  <c r="N6" i="2"/>
  <c r="N28" i="2"/>
  <c r="N25" i="2"/>
  <c r="M29" i="2"/>
  <c r="N15" i="2"/>
  <c r="N12" i="2"/>
  <c r="N7" i="2"/>
  <c r="N29" i="2"/>
  <c r="N20" i="2"/>
  <c r="N21" i="2"/>
  <c r="N18" i="2"/>
  <c r="N13" i="2"/>
  <c r="N4" i="2"/>
  <c r="N26" i="2"/>
  <c r="M4" i="2"/>
  <c r="M26" i="2"/>
  <c r="M21" i="2"/>
  <c r="M18" i="2"/>
  <c r="M13" i="2"/>
  <c r="M8" i="2"/>
  <c r="M27" i="2"/>
  <c r="M22" i="2"/>
  <c r="M19" i="2"/>
  <c r="M14" i="2"/>
  <c r="M11" i="2"/>
  <c r="M6" i="2"/>
  <c r="M28" i="2"/>
  <c r="M25" i="2"/>
  <c r="M20" i="2"/>
  <c r="M15" i="2"/>
  <c r="M12" i="2"/>
  <c r="M7" i="2"/>
  <c r="F15" i="2"/>
  <c r="G8" i="2"/>
  <c r="G15" i="2"/>
  <c r="F22" i="2"/>
  <c r="F8" i="2"/>
  <c r="G22" i="2"/>
  <c r="F29" i="2"/>
  <c r="G29" i="2"/>
  <c r="G25" i="2"/>
  <c r="G19" i="2"/>
  <c r="F20" i="2"/>
  <c r="F26" i="2"/>
  <c r="F27" i="2"/>
  <c r="G4" i="2"/>
  <c r="G5" i="2"/>
  <c r="F4" i="2"/>
  <c r="G14" i="2"/>
  <c r="F11" i="2"/>
  <c r="G27" i="2"/>
  <c r="G21" i="2"/>
  <c r="F19" i="2"/>
  <c r="F18" i="2"/>
  <c r="G12" i="2"/>
  <c r="F12" i="2"/>
  <c r="F14" i="2"/>
  <c r="F7" i="2"/>
  <c r="G11" i="2"/>
  <c r="G18" i="2"/>
  <c r="F25" i="2"/>
  <c r="F6" i="2"/>
  <c r="F5" i="2"/>
  <c r="G6" i="2"/>
  <c r="G13" i="2"/>
  <c r="F13" i="2"/>
  <c r="F21" i="2"/>
  <c r="G26" i="2"/>
  <c r="G20" i="2"/>
  <c r="G7" i="2"/>
  <c r="F28" i="2"/>
  <c r="G28" i="2"/>
  <c r="C29" i="2" l="1"/>
  <c r="E29" i="2"/>
  <c r="ES25" i="2"/>
  <c r="EV25" i="2" s="1"/>
  <c r="EO6" i="2"/>
  <c r="E28" i="2"/>
  <c r="ER15" i="2"/>
  <c r="EO19" i="2"/>
  <c r="EO5" i="2"/>
  <c r="EO29" i="2"/>
  <c r="D27" i="2"/>
  <c r="C28" i="2"/>
  <c r="EO13" i="2"/>
  <c r="EO8" i="2"/>
  <c r="ES14" i="2"/>
  <c r="EV14" i="2" s="1"/>
  <c r="EO7" i="2"/>
  <c r="ES20" i="2"/>
  <c r="EV20" i="2" s="1"/>
  <c r="ER11" i="2"/>
  <c r="ER22" i="2"/>
  <c r="ER6" i="2"/>
  <c r="C27" i="2"/>
  <c r="D28" i="2"/>
  <c r="C15" i="2"/>
  <c r="L15" i="2" s="1"/>
  <c r="O15" i="2" s="1"/>
  <c r="ER8" i="2"/>
  <c r="ER7" i="2"/>
  <c r="ER28" i="2"/>
  <c r="ER26" i="2"/>
  <c r="ER14" i="2"/>
  <c r="EO27" i="2"/>
  <c r="ER5" i="2"/>
  <c r="EO12" i="2"/>
  <c r="EO11" i="2"/>
  <c r="ER25" i="2"/>
  <c r="ES8" i="2"/>
  <c r="EV8" i="2" s="1"/>
  <c r="ES21" i="2"/>
  <c r="EV21" i="2" s="1"/>
  <c r="EO21" i="2"/>
  <c r="ES11" i="2"/>
  <c r="EV11" i="2" s="1"/>
  <c r="ER29" i="2"/>
  <c r="EO20" i="2"/>
  <c r="ES29" i="2"/>
  <c r="EV29" i="2" s="1"/>
  <c r="ES22" i="2"/>
  <c r="EV22" i="2" s="1"/>
  <c r="EO4" i="2"/>
  <c r="ER21" i="2"/>
  <c r="ER27" i="2"/>
  <c r="ER19" i="2"/>
  <c r="EO14" i="2"/>
  <c r="ES27" i="2"/>
  <c r="EV27" i="2" s="1"/>
  <c r="EO18" i="2"/>
  <c r="ES18" i="2"/>
  <c r="EV18" i="2" s="1"/>
  <c r="EO22" i="2"/>
  <c r="ER13" i="2"/>
  <c r="ER4" i="2"/>
  <c r="ER20" i="2"/>
  <c r="ER12" i="2"/>
  <c r="EO28" i="2"/>
  <c r="EO15" i="2"/>
  <c r="ES12" i="2"/>
  <c r="EV12" i="2" s="1"/>
  <c r="ES26" i="2"/>
  <c r="EV26" i="2" s="1"/>
  <c r="ES5" i="2"/>
  <c r="EV5" i="2" s="1"/>
  <c r="ES4" i="2"/>
  <c r="EV4" i="2" s="1"/>
  <c r="ER18" i="2"/>
  <c r="EO26" i="2"/>
  <c r="ES6" i="2"/>
  <c r="EV6" i="2" s="1"/>
  <c r="EO25" i="2"/>
  <c r="E13" i="2"/>
  <c r="C13" i="2"/>
  <c r="D13" i="2"/>
  <c r="D21" i="2"/>
  <c r="E21" i="2"/>
  <c r="C21" i="2"/>
  <c r="D8" i="2"/>
  <c r="E8" i="2"/>
  <c r="C8" i="2"/>
  <c r="E7" i="2"/>
  <c r="D7" i="2"/>
  <c r="C7" i="2"/>
  <c r="H5" i="2"/>
  <c r="H25" i="2"/>
  <c r="L29" i="2"/>
  <c r="O29" i="2" s="1"/>
  <c r="H8" i="2"/>
  <c r="H21" i="2"/>
  <c r="H29" i="2"/>
  <c r="H22" i="2"/>
  <c r="H4" i="2"/>
  <c r="H15" i="2"/>
  <c r="H28" i="2"/>
  <c r="H7" i="2"/>
  <c r="H27" i="2"/>
  <c r="L6" i="2"/>
  <c r="O6" i="2" s="1"/>
  <c r="L18" i="2"/>
  <c r="O18" i="2" s="1"/>
  <c r="L4" i="2"/>
  <c r="O4" i="2" s="1"/>
  <c r="H14" i="2"/>
  <c r="H18" i="2"/>
  <c r="H26" i="2"/>
  <c r="L5" i="2"/>
  <c r="O5" i="2" s="1"/>
  <c r="L19" i="2"/>
  <c r="O19" i="2" s="1"/>
  <c r="L22" i="2"/>
  <c r="O22" i="2" s="1"/>
  <c r="H6" i="2"/>
  <c r="H13" i="2"/>
  <c r="H12" i="2"/>
  <c r="H19" i="2"/>
  <c r="H11" i="2"/>
  <c r="H20" i="2"/>
  <c r="L12" i="2"/>
  <c r="O12" i="2" s="1"/>
  <c r="L25" i="2"/>
  <c r="O25" i="2" s="1"/>
  <c r="L11" i="2"/>
  <c r="O11" i="2" s="1"/>
  <c r="L20" i="2"/>
  <c r="O20" i="2" s="1"/>
  <c r="L26" i="2"/>
  <c r="O26" i="2" s="1"/>
  <c r="L14" i="2"/>
  <c r="O14" i="2" s="1"/>
  <c r="L28" i="2" l="1"/>
  <c r="O28" i="2" s="1"/>
  <c r="L27" i="2"/>
  <c r="O27" i="2" s="1"/>
  <c r="ES28" i="2"/>
  <c r="EV28" i="2" s="1"/>
  <c r="EZ27" i="2" s="1"/>
  <c r="ES19" i="2"/>
  <c r="EV19" i="2" s="1"/>
  <c r="EZ20" i="2" s="1"/>
  <c r="ES15" i="2"/>
  <c r="EV15" i="2" s="1"/>
  <c r="ES13" i="2"/>
  <c r="EV13" i="2" s="1"/>
  <c r="ES7" i="2"/>
  <c r="EV7" i="2" s="1"/>
  <c r="EZ7" i="2" s="1"/>
  <c r="L13" i="2"/>
  <c r="O13" i="2" s="1"/>
  <c r="S11" i="2" s="1"/>
  <c r="L21" i="2"/>
  <c r="O21" i="2" s="1"/>
  <c r="S19" i="2" s="1"/>
  <c r="L8" i="2"/>
  <c r="O8" i="2" s="1"/>
  <c r="L7" i="2"/>
  <c r="O7" i="2" s="1"/>
  <c r="S27" i="2" l="1"/>
  <c r="S25" i="2"/>
  <c r="Q29" i="2"/>
  <c r="Q27" i="2"/>
  <c r="Q26" i="2"/>
  <c r="S26" i="2"/>
  <c r="T26" i="2" s="1"/>
  <c r="Q28" i="2"/>
  <c r="S29" i="2"/>
  <c r="Q25" i="2"/>
  <c r="S28" i="2"/>
  <c r="T25" i="2" s="1"/>
  <c r="U25" i="2" s="1"/>
  <c r="EZ26" i="2"/>
  <c r="EZ13" i="2"/>
  <c r="EZ29" i="2"/>
  <c r="EZ25" i="2"/>
  <c r="EZ5" i="2"/>
  <c r="EZ6" i="2"/>
  <c r="EZ22" i="2"/>
  <c r="EZ4" i="2"/>
  <c r="EZ12" i="2"/>
  <c r="EZ18" i="2"/>
  <c r="EZ14" i="2"/>
  <c r="EZ21" i="2"/>
  <c r="EZ15" i="2"/>
  <c r="EZ11" i="2"/>
  <c r="EZ8" i="2"/>
  <c r="EX27" i="2"/>
  <c r="EZ28" i="2"/>
  <c r="EX19" i="2"/>
  <c r="EZ19" i="2"/>
  <c r="EX26" i="2"/>
  <c r="EX13" i="2"/>
  <c r="EX22" i="2"/>
  <c r="EX18" i="2"/>
  <c r="EX28" i="2"/>
  <c r="EX20" i="2"/>
  <c r="EX29" i="2"/>
  <c r="EX25" i="2"/>
  <c r="EX15" i="2"/>
  <c r="EX11" i="2"/>
  <c r="EX12" i="2"/>
  <c r="EX14" i="2"/>
  <c r="EX21" i="2"/>
  <c r="Q18" i="2"/>
  <c r="EX7" i="2"/>
  <c r="EX6" i="2"/>
  <c r="EX5" i="2"/>
  <c r="EX8" i="2"/>
  <c r="EX4" i="2"/>
  <c r="Q21" i="2"/>
  <c r="S8" i="2"/>
  <c r="Q20" i="2"/>
  <c r="Q14" i="2"/>
  <c r="S4" i="2"/>
  <c r="Q19" i="2"/>
  <c r="Q22" i="2"/>
  <c r="Q13" i="2"/>
  <c r="Q15" i="2"/>
  <c r="Q12" i="2"/>
  <c r="S14" i="2"/>
  <c r="Q6" i="2"/>
  <c r="Q11" i="2"/>
  <c r="S7" i="2"/>
  <c r="Q5" i="2"/>
  <c r="S15" i="2"/>
  <c r="S18" i="2"/>
  <c r="Q4" i="2"/>
  <c r="Q7" i="2"/>
  <c r="S12" i="2"/>
  <c r="S13" i="2"/>
  <c r="Q8" i="2"/>
  <c r="S6" i="2"/>
  <c r="S21" i="2"/>
  <c r="S5" i="2"/>
  <c r="S20" i="2"/>
  <c r="S22" i="2"/>
  <c r="T28" i="2"/>
  <c r="U28" i="2" s="1"/>
  <c r="T29" i="2"/>
  <c r="U29" i="2" s="1"/>
  <c r="U26" i="2" l="1"/>
  <c r="T27" i="2"/>
  <c r="U27" i="2" s="1"/>
  <c r="FA25" i="2"/>
  <c r="FB25" i="2" s="1"/>
  <c r="FA4" i="2"/>
  <c r="FB4" i="2" s="1"/>
  <c r="FA28" i="2"/>
  <c r="FB28" i="2" s="1"/>
  <c r="FA29" i="2"/>
  <c r="FB29" i="2" s="1"/>
  <c r="FA26" i="2"/>
  <c r="FB26" i="2" s="1"/>
  <c r="FA27" i="2"/>
  <c r="FB27" i="2" s="1"/>
  <c r="FA21" i="2"/>
  <c r="FB21" i="2" s="1"/>
  <c r="FA22" i="2"/>
  <c r="FB22" i="2" s="1"/>
  <c r="FA19" i="2"/>
  <c r="FB19" i="2" s="1"/>
  <c r="FA20" i="2"/>
  <c r="FB20" i="2" s="1"/>
  <c r="FA14" i="2"/>
  <c r="FB14" i="2" s="1"/>
  <c r="FA15" i="2"/>
  <c r="FB15" i="2" s="1"/>
  <c r="FA12" i="2"/>
  <c r="FB12" i="2" s="1"/>
  <c r="FA13" i="2"/>
  <c r="FB13" i="2" s="1"/>
  <c r="FA7" i="2"/>
  <c r="FB7" i="2" s="1"/>
  <c r="FA8" i="2"/>
  <c r="FB8" i="2" s="1"/>
  <c r="FA5" i="2"/>
  <c r="FB5" i="2" s="1"/>
  <c r="FA6" i="2"/>
  <c r="FB6" i="2" s="1"/>
  <c r="FA18" i="2"/>
  <c r="FB18" i="2" s="1"/>
  <c r="FA11" i="2"/>
  <c r="FB11" i="2" s="1"/>
  <c r="T12" i="2"/>
  <c r="U12" i="2" s="1"/>
  <c r="T8" i="2"/>
  <c r="U8" i="2" s="1"/>
  <c r="T11" i="2"/>
  <c r="U11" i="2" s="1"/>
  <c r="T13" i="2"/>
  <c r="U13" i="2" s="1"/>
  <c r="T5" i="2"/>
  <c r="T4" i="2"/>
  <c r="U4" i="2" s="1"/>
  <c r="T7" i="2"/>
  <c r="U7" i="2" s="1"/>
  <c r="T6" i="2"/>
  <c r="U6" i="2" s="1"/>
  <c r="T20" i="2"/>
  <c r="U20" i="2" s="1"/>
  <c r="T14" i="2"/>
  <c r="U14" i="2" s="1"/>
  <c r="X11" i="2" s="1"/>
  <c r="BW13" i="2" s="1"/>
  <c r="T15" i="2"/>
  <c r="U15" i="2" s="1"/>
  <c r="T19" i="2"/>
  <c r="U19" i="2" s="1"/>
  <c r="T22" i="2"/>
  <c r="U22" i="2" s="1"/>
  <c r="T21" i="2"/>
  <c r="U21" i="2" s="1"/>
  <c r="T18" i="2"/>
  <c r="U18" i="2" s="1"/>
  <c r="X25" i="2"/>
  <c r="BW27" i="2" s="1"/>
  <c r="V25" i="2"/>
  <c r="V26" i="2" s="1"/>
  <c r="Y25" i="2"/>
  <c r="Y26" i="2" s="1"/>
  <c r="CU29" i="2" s="1"/>
  <c r="W25" i="2"/>
  <c r="AY26" i="2" s="1"/>
  <c r="FF18" i="2" l="1"/>
  <c r="IB21" i="2" s="1"/>
  <c r="IG21" i="2" s="1"/>
  <c r="FC25" i="2"/>
  <c r="FC26" i="2" s="1"/>
  <c r="FC27" i="2" s="1"/>
  <c r="X4" i="2"/>
  <c r="X5" i="2" s="1"/>
  <c r="CE27" i="2"/>
  <c r="CI27" i="2"/>
  <c r="CD27" i="2"/>
  <c r="CH27" i="2"/>
  <c r="CB27" i="2"/>
  <c r="CG27" i="2"/>
  <c r="CA27" i="2"/>
  <c r="BG26" i="2"/>
  <c r="BK26" i="2"/>
  <c r="BF26" i="2"/>
  <c r="BJ26" i="2"/>
  <c r="BD26" i="2"/>
  <c r="BI26" i="2"/>
  <c r="BC26" i="2"/>
  <c r="DC29" i="2"/>
  <c r="DG29" i="2"/>
  <c r="DB29" i="2"/>
  <c r="DF29" i="2"/>
  <c r="CZ29" i="2"/>
  <c r="DE29" i="2"/>
  <c r="CY29" i="2"/>
  <c r="CH13" i="2"/>
  <c r="CB13" i="2"/>
  <c r="CG13" i="2"/>
  <c r="CA13" i="2"/>
  <c r="CE13" i="2"/>
  <c r="CI13" i="2"/>
  <c r="CD13" i="2"/>
  <c r="FF4" i="2"/>
  <c r="IB7" i="2" s="1"/>
  <c r="IG7" i="2" s="1"/>
  <c r="FE11" i="2"/>
  <c r="HD13" i="2" s="1"/>
  <c r="HL13" i="2" s="1"/>
  <c r="FE4" i="2"/>
  <c r="HD6" i="2" s="1"/>
  <c r="HI6" i="2" s="1"/>
  <c r="FE25" i="2"/>
  <c r="HD27" i="2" s="1"/>
  <c r="HP27" i="2" s="1"/>
  <c r="FF11" i="2"/>
  <c r="IB14" i="2" s="1"/>
  <c r="IN14" i="2" s="1"/>
  <c r="FD11" i="2"/>
  <c r="FD12" i="2" s="1"/>
  <c r="GF13" i="2" s="1"/>
  <c r="FD4" i="2"/>
  <c r="GF5" i="2" s="1"/>
  <c r="GN5" i="2" s="1"/>
  <c r="FC11" i="2"/>
  <c r="FC12" i="2" s="1"/>
  <c r="FF25" i="2"/>
  <c r="IB28" i="2" s="1"/>
  <c r="IM28" i="2" s="1"/>
  <c r="FD18" i="2"/>
  <c r="GF19" i="2" s="1"/>
  <c r="GR19" i="2" s="1"/>
  <c r="FD25" i="2"/>
  <c r="W11" i="2"/>
  <c r="W12" i="2" s="1"/>
  <c r="W13" i="2" s="1"/>
  <c r="FE18" i="2"/>
  <c r="HD20" i="2" s="1"/>
  <c r="FC4" i="2"/>
  <c r="FH4" i="2" s="1"/>
  <c r="FC18" i="2"/>
  <c r="V11" i="2"/>
  <c r="V12" i="2" s="1"/>
  <c r="AA12" i="2" s="1"/>
  <c r="Y4" i="2"/>
  <c r="Y5" i="2" s="1"/>
  <c r="CU8" i="2" s="1"/>
  <c r="W18" i="2"/>
  <c r="AY19" i="2" s="1"/>
  <c r="BW6" i="2"/>
  <c r="X18" i="2"/>
  <c r="X19" i="2" s="1"/>
  <c r="BW21" i="2" s="1"/>
  <c r="V18" i="2"/>
  <c r="V19" i="2" s="1"/>
  <c r="V20" i="2" s="1"/>
  <c r="W4" i="2"/>
  <c r="W5" i="2" s="1"/>
  <c r="AY6" i="2" s="1"/>
  <c r="Y11" i="2"/>
  <c r="CU14" i="2" s="1"/>
  <c r="U5" i="2"/>
  <c r="V4" i="2" s="1"/>
  <c r="AA4" i="2" s="1"/>
  <c r="Y18" i="2"/>
  <c r="X26" i="2"/>
  <c r="BW28" i="2" s="1"/>
  <c r="CU28" i="2"/>
  <c r="AA25" i="2"/>
  <c r="X12" i="2"/>
  <c r="BW14" i="2" s="1"/>
  <c r="W26" i="2"/>
  <c r="V27" i="2"/>
  <c r="AA26" i="2"/>
  <c r="X6" i="2"/>
  <c r="BW8" i="2" s="1"/>
  <c r="BW7" i="2"/>
  <c r="AP38" i="1"/>
  <c r="IL21" i="2" l="1"/>
  <c r="IF21" i="2"/>
  <c r="IJ21" i="2"/>
  <c r="IN21" i="2"/>
  <c r="FF19" i="2"/>
  <c r="IB22" i="2" s="1"/>
  <c r="IO21" i="2" s="1"/>
  <c r="II21" i="2"/>
  <c r="IM21" i="2"/>
  <c r="FH26" i="2"/>
  <c r="FS26" i="2" s="1"/>
  <c r="AY13" i="2"/>
  <c r="BD13" i="2" s="1"/>
  <c r="AY12" i="2"/>
  <c r="FH25" i="2"/>
  <c r="FT25" i="2" s="1"/>
  <c r="W19" i="2"/>
  <c r="AY20" i="2" s="1"/>
  <c r="BG20" i="2" s="1"/>
  <c r="AL26" i="2"/>
  <c r="AF26" i="2"/>
  <c r="AK26" i="2"/>
  <c r="AE26" i="2"/>
  <c r="AI26" i="2"/>
  <c r="AM26" i="2"/>
  <c r="AH26" i="2"/>
  <c r="CH14" i="2"/>
  <c r="CB14" i="2"/>
  <c r="CG14" i="2"/>
  <c r="CA14" i="2"/>
  <c r="CE14" i="2"/>
  <c r="CI14" i="2"/>
  <c r="CD14" i="2"/>
  <c r="CG7" i="2"/>
  <c r="CA7" i="2"/>
  <c r="CE7" i="2"/>
  <c r="CI7" i="2"/>
  <c r="CD7" i="2"/>
  <c r="CH7" i="2"/>
  <c r="CB7" i="2"/>
  <c r="CJ7" i="2"/>
  <c r="BZ7" i="2"/>
  <c r="BY7" i="2"/>
  <c r="BX7" i="2"/>
  <c r="CK7" i="2"/>
  <c r="BC13" i="2"/>
  <c r="BG13" i="2"/>
  <c r="BJ12" i="2"/>
  <c r="BD12" i="2"/>
  <c r="BI12" i="2"/>
  <c r="BC12" i="2"/>
  <c r="BG12" i="2"/>
  <c r="BK12" i="2"/>
  <c r="BF12" i="2"/>
  <c r="CE28" i="2"/>
  <c r="CI28" i="2"/>
  <c r="CD28" i="2"/>
  <c r="CH28" i="2"/>
  <c r="CB28" i="2"/>
  <c r="CG28" i="2"/>
  <c r="CA28" i="2"/>
  <c r="BK6" i="2"/>
  <c r="BF6" i="2"/>
  <c r="BJ6" i="2"/>
  <c r="BD6" i="2"/>
  <c r="BI6" i="2"/>
  <c r="BC6" i="2"/>
  <c r="BG6" i="2"/>
  <c r="BI19" i="2"/>
  <c r="BC19" i="2"/>
  <c r="BE19" i="2" s="1"/>
  <c r="BG19" i="2"/>
  <c r="BK19" i="2"/>
  <c r="BF19" i="2"/>
  <c r="BJ19" i="2"/>
  <c r="BD19" i="2"/>
  <c r="CK8" i="2"/>
  <c r="CG8" i="2"/>
  <c r="CB8" i="2"/>
  <c r="BX8" i="2"/>
  <c r="CJ8" i="2"/>
  <c r="CA8" i="2"/>
  <c r="CI8" i="2"/>
  <c r="CE8" i="2"/>
  <c r="BZ8" i="2"/>
  <c r="CH8" i="2"/>
  <c r="CD8" i="2"/>
  <c r="BY8" i="2"/>
  <c r="AI25" i="2"/>
  <c r="AM25" i="2"/>
  <c r="AH25" i="2"/>
  <c r="AL25" i="2"/>
  <c r="AF25" i="2"/>
  <c r="AK25" i="2"/>
  <c r="AE25" i="2"/>
  <c r="DG8" i="2"/>
  <c r="DB8" i="2"/>
  <c r="DF8" i="2"/>
  <c r="CZ8" i="2"/>
  <c r="DE8" i="2"/>
  <c r="CY8" i="2"/>
  <c r="DC8" i="2"/>
  <c r="AM4" i="2"/>
  <c r="AH4" i="2"/>
  <c r="AI4" i="2"/>
  <c r="AL4" i="2"/>
  <c r="AF4" i="2"/>
  <c r="AK4" i="2"/>
  <c r="AE4" i="2"/>
  <c r="CE21" i="2"/>
  <c r="CI21" i="2"/>
  <c r="CD21" i="2"/>
  <c r="CH21" i="2"/>
  <c r="CB21" i="2"/>
  <c r="CG21" i="2"/>
  <c r="CA21" i="2"/>
  <c r="AI12" i="2"/>
  <c r="AM12" i="2"/>
  <c r="AH12" i="2"/>
  <c r="AL12" i="2"/>
  <c r="AF12" i="2"/>
  <c r="AK12" i="2"/>
  <c r="AE12" i="2"/>
  <c r="DF28" i="2"/>
  <c r="CZ28" i="2"/>
  <c r="DE28" i="2"/>
  <c r="CY28" i="2"/>
  <c r="DC28" i="2"/>
  <c r="DG28" i="2"/>
  <c r="DB28" i="2"/>
  <c r="DE14" i="2"/>
  <c r="CY14" i="2"/>
  <c r="DC14" i="2"/>
  <c r="DG14" i="2"/>
  <c r="DB14" i="2"/>
  <c r="DF14" i="2"/>
  <c r="CZ14" i="2"/>
  <c r="CI6" i="2"/>
  <c r="CD6" i="2"/>
  <c r="CH6" i="2"/>
  <c r="CB6" i="2"/>
  <c r="CG6" i="2"/>
  <c r="CA6" i="2"/>
  <c r="CE6" i="2"/>
  <c r="BY6" i="2"/>
  <c r="CK6" i="2"/>
  <c r="BZ6" i="2"/>
  <c r="BX6" i="2"/>
  <c r="CJ6" i="2"/>
  <c r="FE12" i="2"/>
  <c r="HD14" i="2" s="1"/>
  <c r="HI14" i="2" s="1"/>
  <c r="HO27" i="2"/>
  <c r="HI13" i="2"/>
  <c r="GF12" i="2"/>
  <c r="GP12" i="2" s="1"/>
  <c r="HH13" i="2"/>
  <c r="HP13" i="2"/>
  <c r="HK13" i="2"/>
  <c r="HM13" i="2" s="1"/>
  <c r="GK5" i="2"/>
  <c r="HO13" i="2"/>
  <c r="HN13" i="2"/>
  <c r="HL27" i="2"/>
  <c r="FH11" i="2"/>
  <c r="FP11" i="2" s="1"/>
  <c r="HI27" i="2"/>
  <c r="FF5" i="2"/>
  <c r="IB8" i="2" s="1"/>
  <c r="IP7" i="2" s="1"/>
  <c r="FE5" i="2"/>
  <c r="HD7" i="2" s="1"/>
  <c r="HL7" i="2" s="1"/>
  <c r="IM14" i="2"/>
  <c r="HH6" i="2"/>
  <c r="HJ6" i="2" s="1"/>
  <c r="FF12" i="2"/>
  <c r="IB15" i="2" s="1"/>
  <c r="IO14" i="2" s="1"/>
  <c r="GJ5" i="2"/>
  <c r="FD5" i="2"/>
  <c r="GF6" i="2" s="1"/>
  <c r="GN6" i="2" s="1"/>
  <c r="IM7" i="2"/>
  <c r="GR5" i="2"/>
  <c r="HP6" i="2"/>
  <c r="GM5" i="2"/>
  <c r="GO5" i="2" s="1"/>
  <c r="IJ14" i="2"/>
  <c r="HK6" i="2"/>
  <c r="IN7" i="2"/>
  <c r="GQ5" i="2"/>
  <c r="IL14" i="2"/>
  <c r="IG14" i="2"/>
  <c r="HN6" i="2"/>
  <c r="HL6" i="2"/>
  <c r="IF7" i="2"/>
  <c r="IH7" i="2" s="1"/>
  <c r="GP5" i="2"/>
  <c r="IF14" i="2"/>
  <c r="HO6" i="2"/>
  <c r="II14" i="2"/>
  <c r="II7" i="2"/>
  <c r="IJ7" i="2"/>
  <c r="IL7" i="2"/>
  <c r="HH27" i="2"/>
  <c r="HN27" i="2"/>
  <c r="HK27" i="2"/>
  <c r="FE26" i="2"/>
  <c r="FF26" i="2"/>
  <c r="IB29" i="2" s="1"/>
  <c r="IN29" i="2" s="1"/>
  <c r="IK21" i="2"/>
  <c r="GN19" i="2"/>
  <c r="GK19" i="2"/>
  <c r="GP19" i="2"/>
  <c r="GM19" i="2"/>
  <c r="GJ19" i="2"/>
  <c r="GQ19" i="2"/>
  <c r="FD19" i="2"/>
  <c r="GF20" i="2" s="1"/>
  <c r="GN20" i="2" s="1"/>
  <c r="FD13" i="2"/>
  <c r="GF14" i="2" s="1"/>
  <c r="FE19" i="2"/>
  <c r="HD21" i="2" s="1"/>
  <c r="IG28" i="2"/>
  <c r="IJ28" i="2"/>
  <c r="II28" i="2"/>
  <c r="IF28" i="2"/>
  <c r="IL28" i="2"/>
  <c r="GF26" i="2"/>
  <c r="FD26" i="2"/>
  <c r="IN28" i="2"/>
  <c r="HI20" i="2"/>
  <c r="HP20" i="2"/>
  <c r="HL20" i="2"/>
  <c r="HH20" i="2"/>
  <c r="HO20" i="2"/>
  <c r="HK20" i="2"/>
  <c r="HN20" i="2"/>
  <c r="IH21" i="2"/>
  <c r="IP21" i="2"/>
  <c r="IL22" i="2"/>
  <c r="IO22" i="2"/>
  <c r="FP4" i="2"/>
  <c r="FS4" i="2"/>
  <c r="FO4" i="2"/>
  <c r="FR4" i="2"/>
  <c r="FM4" i="2"/>
  <c r="FT4" i="2"/>
  <c r="FL4" i="2"/>
  <c r="GR13" i="2"/>
  <c r="GN13" i="2"/>
  <c r="GJ13" i="2"/>
  <c r="GQ13" i="2"/>
  <c r="GM13" i="2"/>
  <c r="GP13" i="2"/>
  <c r="GK13" i="2"/>
  <c r="ID21" i="2"/>
  <c r="FC5" i="2"/>
  <c r="FH5" i="2" s="1"/>
  <c r="W6" i="2"/>
  <c r="W7" i="2" s="1"/>
  <c r="AY8" i="2" s="1"/>
  <c r="X20" i="2"/>
  <c r="BW22" i="2" s="1"/>
  <c r="V13" i="2"/>
  <c r="V14" i="2" s="1"/>
  <c r="CU7" i="2"/>
  <c r="DH8" i="2" s="1"/>
  <c r="AA11" i="2"/>
  <c r="BW20" i="2"/>
  <c r="FH18" i="2"/>
  <c r="FC19" i="2"/>
  <c r="FH27" i="2"/>
  <c r="FC28" i="2"/>
  <c r="FC13" i="2"/>
  <c r="FH12" i="2"/>
  <c r="Y12" i="2"/>
  <c r="CU15" i="2" s="1"/>
  <c r="CX14" i="2" s="1"/>
  <c r="AA19" i="2"/>
  <c r="AY5" i="2"/>
  <c r="DA29" i="2"/>
  <c r="CC13" i="2"/>
  <c r="CC27" i="2"/>
  <c r="BE26" i="2"/>
  <c r="AA18" i="2"/>
  <c r="V5" i="2"/>
  <c r="AA5" i="2" s="1"/>
  <c r="Y19" i="2"/>
  <c r="CU22" i="2" s="1"/>
  <c r="CU21" i="2"/>
  <c r="X27" i="2"/>
  <c r="BW29" i="2" s="1"/>
  <c r="X13" i="2"/>
  <c r="BW15" i="2" s="1"/>
  <c r="CK14" i="2" s="1"/>
  <c r="W20" i="2"/>
  <c r="W21" i="2" s="1"/>
  <c r="AY22" i="2" s="1"/>
  <c r="AY27" i="2"/>
  <c r="W27" i="2"/>
  <c r="V28" i="2"/>
  <c r="AA27" i="2"/>
  <c r="AA20" i="2"/>
  <c r="V21" i="2"/>
  <c r="AY14" i="2"/>
  <c r="W14" i="2"/>
  <c r="AY15" i="2" s="1"/>
  <c r="FP26" i="2" l="1"/>
  <c r="IG22" i="2"/>
  <c r="ID22" i="2"/>
  <c r="IC21" i="2"/>
  <c r="IF22" i="2"/>
  <c r="IP22" i="2"/>
  <c r="IE21" i="2"/>
  <c r="IJ22" i="2"/>
  <c r="IK22" i="2" s="1"/>
  <c r="IN22" i="2"/>
  <c r="II22" i="2"/>
  <c r="IE22" i="2"/>
  <c r="IC22" i="2"/>
  <c r="IM22" i="2"/>
  <c r="IK14" i="2"/>
  <c r="BI13" i="2"/>
  <c r="BF13" i="2"/>
  <c r="BJ13" i="2"/>
  <c r="BC20" i="2"/>
  <c r="BK13" i="2"/>
  <c r="BI20" i="2"/>
  <c r="BF20" i="2"/>
  <c r="BD20" i="2"/>
  <c r="BK20" i="2"/>
  <c r="BJ20" i="2"/>
  <c r="AG12" i="2"/>
  <c r="FR26" i="2"/>
  <c r="FM26" i="2"/>
  <c r="FR25" i="2"/>
  <c r="FS25" i="2"/>
  <c r="FM25" i="2"/>
  <c r="FT26" i="2"/>
  <c r="FO26" i="2"/>
  <c r="FQ26" i="2" s="1"/>
  <c r="FL26" i="2"/>
  <c r="FO25" i="2"/>
  <c r="FL25" i="2"/>
  <c r="FP25" i="2"/>
  <c r="CL8" i="2"/>
  <c r="CJ21" i="2"/>
  <c r="BM13" i="2"/>
  <c r="AA13" i="2"/>
  <c r="CC6" i="2"/>
  <c r="AY7" i="2"/>
  <c r="BA6" i="2" s="1"/>
  <c r="CF8" i="2"/>
  <c r="FE13" i="2"/>
  <c r="HD15" i="2" s="1"/>
  <c r="HQ14" i="2" s="1"/>
  <c r="II8" i="2"/>
  <c r="HK14" i="2"/>
  <c r="HH14" i="2"/>
  <c r="HJ14" i="2" s="1"/>
  <c r="FT11" i="2"/>
  <c r="HL14" i="2"/>
  <c r="HN14" i="2"/>
  <c r="HP14" i="2"/>
  <c r="IE7" i="2"/>
  <c r="HO14" i="2"/>
  <c r="HJ13" i="2"/>
  <c r="GR12" i="2"/>
  <c r="GM12" i="2"/>
  <c r="BO15" i="2"/>
  <c r="BK15" i="2"/>
  <c r="BG15" i="2"/>
  <c r="BB15" i="2"/>
  <c r="BN15" i="2"/>
  <c r="BJ15" i="2"/>
  <c r="BF15" i="2"/>
  <c r="BA15" i="2"/>
  <c r="BM15" i="2"/>
  <c r="BI15" i="2"/>
  <c r="BD15" i="2"/>
  <c r="AZ15" i="2"/>
  <c r="BL15" i="2"/>
  <c r="BH15" i="2"/>
  <c r="BC15" i="2"/>
  <c r="CI29" i="2"/>
  <c r="CE29" i="2"/>
  <c r="BZ29" i="2"/>
  <c r="CH29" i="2"/>
  <c r="CD29" i="2"/>
  <c r="BY29" i="2"/>
  <c r="CK29" i="2"/>
  <c r="CG29" i="2"/>
  <c r="CB29" i="2"/>
  <c r="BX29" i="2"/>
  <c r="CJ29" i="2"/>
  <c r="CA29" i="2"/>
  <c r="AK18" i="2"/>
  <c r="AE18" i="2"/>
  <c r="AI18" i="2"/>
  <c r="AM18" i="2"/>
  <c r="AH18" i="2"/>
  <c r="AL18" i="2"/>
  <c r="AF18" i="2"/>
  <c r="AK19" i="2"/>
  <c r="AE19" i="2"/>
  <c r="AI19" i="2"/>
  <c r="AM19" i="2"/>
  <c r="AH19" i="2"/>
  <c r="AL19" i="2"/>
  <c r="AF19" i="2"/>
  <c r="AL11" i="2"/>
  <c r="AF11" i="2"/>
  <c r="AK11" i="2"/>
  <c r="AE11" i="2"/>
  <c r="AG11" i="2" s="1"/>
  <c r="AI11" i="2"/>
  <c r="AM11" i="2"/>
  <c r="AH11" i="2"/>
  <c r="BX13" i="2"/>
  <c r="CV14" i="2"/>
  <c r="BZ27" i="2"/>
  <c r="BY13" i="2"/>
  <c r="BY27" i="2"/>
  <c r="DI8" i="2"/>
  <c r="BZ28" i="2"/>
  <c r="BB12" i="2"/>
  <c r="BL12" i="2"/>
  <c r="BA13" i="2"/>
  <c r="BL8" i="2"/>
  <c r="BC8" i="2"/>
  <c r="BK8" i="2"/>
  <c r="BG8" i="2"/>
  <c r="BB8" i="2"/>
  <c r="BJ8" i="2"/>
  <c r="BF8" i="2"/>
  <c r="BH8" i="2" s="1"/>
  <c r="BA8" i="2"/>
  <c r="BM8" i="2"/>
  <c r="BI8" i="2"/>
  <c r="BD8" i="2"/>
  <c r="AZ8" i="2"/>
  <c r="BN8" i="2" s="1"/>
  <c r="CJ15" i="2"/>
  <c r="CA15" i="2"/>
  <c r="CI15" i="2"/>
  <c r="CE15" i="2"/>
  <c r="BZ15" i="2"/>
  <c r="CH15" i="2"/>
  <c r="CD15" i="2"/>
  <c r="BY15" i="2"/>
  <c r="CK15" i="2"/>
  <c r="CG15" i="2"/>
  <c r="CB15" i="2"/>
  <c r="BX15" i="2"/>
  <c r="AK5" i="2"/>
  <c r="AE5" i="2"/>
  <c r="AL5" i="2"/>
  <c r="AF5" i="2"/>
  <c r="AI5" i="2"/>
  <c r="AM5" i="2"/>
  <c r="AH5" i="2"/>
  <c r="BF5" i="2"/>
  <c r="BG5" i="2"/>
  <c r="BJ5" i="2"/>
  <c r="BD5" i="2"/>
  <c r="BE5" i="2" s="1"/>
  <c r="BI5" i="2"/>
  <c r="BC5" i="2"/>
  <c r="BK5" i="2"/>
  <c r="BB5" i="2"/>
  <c r="BA5" i="2"/>
  <c r="AZ5" i="2"/>
  <c r="BM5" i="2"/>
  <c r="BL5" i="2"/>
  <c r="CI20" i="2"/>
  <c r="CD20" i="2"/>
  <c r="CH20" i="2"/>
  <c r="CB20" i="2"/>
  <c r="CG20" i="2"/>
  <c r="CA20" i="2"/>
  <c r="CE20" i="2"/>
  <c r="BX20" i="2"/>
  <c r="CK20" i="2"/>
  <c r="CJ20" i="2"/>
  <c r="BY20" i="2"/>
  <c r="BZ20" i="2"/>
  <c r="CI22" i="2"/>
  <c r="CE22" i="2"/>
  <c r="BZ22" i="2"/>
  <c r="CH22" i="2"/>
  <c r="CD22" i="2"/>
  <c r="BY22" i="2"/>
  <c r="CK22" i="2"/>
  <c r="CG22" i="2"/>
  <c r="CB22" i="2"/>
  <c r="BX22" i="2"/>
  <c r="CJ22" i="2"/>
  <c r="CA22" i="2"/>
  <c r="CC22" i="2" s="1"/>
  <c r="BL14" i="2"/>
  <c r="BH14" i="2"/>
  <c r="BC14" i="2"/>
  <c r="BO14" i="2"/>
  <c r="BK14" i="2"/>
  <c r="BG14" i="2"/>
  <c r="BB14" i="2"/>
  <c r="BN14" i="2"/>
  <c r="BJ14" i="2"/>
  <c r="BF14" i="2"/>
  <c r="BA14" i="2"/>
  <c r="BM14" i="2"/>
  <c r="BI14" i="2"/>
  <c r="BD14" i="2"/>
  <c r="AZ14" i="2"/>
  <c r="AM20" i="2"/>
  <c r="AI20" i="2"/>
  <c r="AL20" i="2"/>
  <c r="AH20" i="2"/>
  <c r="AK20" i="2"/>
  <c r="AF20" i="2"/>
  <c r="AE20" i="2"/>
  <c r="BG27" i="2"/>
  <c r="BK27" i="2"/>
  <c r="BF27" i="2"/>
  <c r="BJ27" i="2"/>
  <c r="BD27" i="2"/>
  <c r="BI27" i="2"/>
  <c r="BC27" i="2"/>
  <c r="DC21" i="2"/>
  <c r="DG21" i="2"/>
  <c r="DB21" i="2"/>
  <c r="DF21" i="2"/>
  <c r="CZ21" i="2"/>
  <c r="DE21" i="2"/>
  <c r="CY21" i="2"/>
  <c r="CW21" i="2"/>
  <c r="DH21" i="2"/>
  <c r="CX21" i="2"/>
  <c r="CV21" i="2"/>
  <c r="DI21" i="2"/>
  <c r="DC7" i="2"/>
  <c r="DG7" i="2"/>
  <c r="DB7" i="2"/>
  <c r="DF7" i="2"/>
  <c r="CZ7" i="2"/>
  <c r="DE7" i="2"/>
  <c r="CY7" i="2"/>
  <c r="DA7" i="2" s="1"/>
  <c r="DH7" i="2"/>
  <c r="CV7" i="2"/>
  <c r="DI7" i="2"/>
  <c r="CX7" i="2"/>
  <c r="CW7" i="2"/>
  <c r="FO11" i="2"/>
  <c r="FQ11" i="2" s="1"/>
  <c r="CW14" i="2"/>
  <c r="BY21" i="2"/>
  <c r="CJ13" i="2"/>
  <c r="CW8" i="2"/>
  <c r="BM6" i="2"/>
  <c r="BX28" i="2"/>
  <c r="BM12" i="2"/>
  <c r="BB13" i="2"/>
  <c r="BY14" i="2"/>
  <c r="BX14" i="2"/>
  <c r="DH14" i="2"/>
  <c r="CK21" i="2"/>
  <c r="BZ21" i="2"/>
  <c r="CK13" i="2"/>
  <c r="CX8" i="2"/>
  <c r="CJ28" i="2"/>
  <c r="AZ12" i="2"/>
  <c r="AZ13" i="2"/>
  <c r="BZ14" i="2"/>
  <c r="CK27" i="2"/>
  <c r="BZ13" i="2"/>
  <c r="BK7" i="2"/>
  <c r="BG7" i="2"/>
  <c r="BB7" i="2"/>
  <c r="BJ7" i="2"/>
  <c r="BF7" i="2"/>
  <c r="BA7" i="2"/>
  <c r="BM7" i="2"/>
  <c r="BI7" i="2"/>
  <c r="BD7" i="2"/>
  <c r="AZ7" i="2"/>
  <c r="BN7" i="2" s="1"/>
  <c r="BL7" i="2"/>
  <c r="BH7" i="2"/>
  <c r="BC7" i="2"/>
  <c r="AK13" i="2"/>
  <c r="AF13" i="2"/>
  <c r="AE13" i="2"/>
  <c r="AM13" i="2"/>
  <c r="AI13" i="2"/>
  <c r="AL13" i="2"/>
  <c r="AH13" i="2"/>
  <c r="AM27" i="2"/>
  <c r="AI27" i="2"/>
  <c r="AL27" i="2"/>
  <c r="AH27" i="2"/>
  <c r="AK27" i="2"/>
  <c r="AF27" i="2"/>
  <c r="AE27" i="2"/>
  <c r="BN22" i="2"/>
  <c r="BJ22" i="2"/>
  <c r="BF22" i="2"/>
  <c r="BA22" i="2"/>
  <c r="BM22" i="2"/>
  <c r="BI22" i="2"/>
  <c r="BD22" i="2"/>
  <c r="AZ22" i="2"/>
  <c r="BL22" i="2"/>
  <c r="BH22" i="2"/>
  <c r="BC22" i="2"/>
  <c r="BO22" i="2"/>
  <c r="BK22" i="2"/>
  <c r="BG22" i="2"/>
  <c r="BB22" i="2"/>
  <c r="DE22" i="2"/>
  <c r="CY22" i="2"/>
  <c r="DC22" i="2"/>
  <c r="DG22" i="2"/>
  <c r="DB22" i="2"/>
  <c r="DF22" i="2"/>
  <c r="CZ22" i="2"/>
  <c r="DH22" i="2"/>
  <c r="CW22" i="2"/>
  <c r="CV22" i="2"/>
  <c r="CX22" i="2"/>
  <c r="DI22" i="2"/>
  <c r="DF15" i="2"/>
  <c r="CZ15" i="2"/>
  <c r="DE15" i="2"/>
  <c r="CY15" i="2"/>
  <c r="DC15" i="2"/>
  <c r="DG15" i="2"/>
  <c r="DB15" i="2"/>
  <c r="DH15" i="2"/>
  <c r="CW15" i="2"/>
  <c r="CV15" i="2"/>
  <c r="DI15" i="2"/>
  <c r="CX15" i="2"/>
  <c r="CJ27" i="2"/>
  <c r="DI14" i="2"/>
  <c r="BX21" i="2"/>
  <c r="CV8" i="2"/>
  <c r="BB6" i="2"/>
  <c r="AZ6" i="2"/>
  <c r="BY28" i="2"/>
  <c r="CK28" i="2"/>
  <c r="BA12" i="2"/>
  <c r="BL13" i="2"/>
  <c r="CJ14" i="2"/>
  <c r="BX27" i="2"/>
  <c r="GK14" i="2"/>
  <c r="HK7" i="2"/>
  <c r="HM7" i="2" s="1"/>
  <c r="GJ12" i="2"/>
  <c r="GQ12" i="2"/>
  <c r="FS11" i="2"/>
  <c r="HP7" i="2"/>
  <c r="GK12" i="2"/>
  <c r="FM11" i="2"/>
  <c r="FL11" i="2"/>
  <c r="IH28" i="2"/>
  <c r="GL5" i="2"/>
  <c r="FD6" i="2"/>
  <c r="GF7" i="2" s="1"/>
  <c r="GP7" i="2" s="1"/>
  <c r="GN12" i="2"/>
  <c r="FR11" i="2"/>
  <c r="HO7" i="2"/>
  <c r="HI7" i="2"/>
  <c r="HJ27" i="2"/>
  <c r="IH14" i="2"/>
  <c r="FD14" i="2"/>
  <c r="GF15" i="2" s="1"/>
  <c r="GS12" i="2" s="1"/>
  <c r="GQ14" i="2"/>
  <c r="HH7" i="2"/>
  <c r="HN7" i="2"/>
  <c r="FE6" i="2"/>
  <c r="HD8" i="2" s="1"/>
  <c r="HG6" i="2" s="1"/>
  <c r="ID14" i="2"/>
  <c r="GN14" i="2"/>
  <c r="HM27" i="2"/>
  <c r="IO15" i="2"/>
  <c r="IN8" i="2"/>
  <c r="GM20" i="2"/>
  <c r="GO20" i="2" s="1"/>
  <c r="IJ15" i="2"/>
  <c r="ID8" i="2"/>
  <c r="GR20" i="2"/>
  <c r="IE15" i="2"/>
  <c r="FD20" i="2"/>
  <c r="GF21" i="2" s="1"/>
  <c r="GQ20" i="2"/>
  <c r="II15" i="2"/>
  <c r="IN15" i="2"/>
  <c r="ID15" i="2"/>
  <c r="IC8" i="2"/>
  <c r="IL8" i="2"/>
  <c r="IM8" i="2"/>
  <c r="GK20" i="2"/>
  <c r="GJ20" i="2"/>
  <c r="IM15" i="2"/>
  <c r="IC15" i="2"/>
  <c r="IL15" i="2"/>
  <c r="IF8" i="2"/>
  <c r="IG8" i="2"/>
  <c r="IP8" i="2"/>
  <c r="ID7" i="2"/>
  <c r="GP20" i="2"/>
  <c r="IF15" i="2"/>
  <c r="IG15" i="2"/>
  <c r="IP15" i="2"/>
  <c r="IO7" i="2"/>
  <c r="IJ8" i="2"/>
  <c r="IO8" i="2"/>
  <c r="IE8" i="2"/>
  <c r="IP14" i="2"/>
  <c r="IC7" i="2"/>
  <c r="IC14" i="2"/>
  <c r="IE14" i="2"/>
  <c r="GM6" i="2"/>
  <c r="GO6" i="2" s="1"/>
  <c r="GR6" i="2"/>
  <c r="GP6" i="2"/>
  <c r="GK6" i="2"/>
  <c r="GQ6" i="2"/>
  <c r="GJ6" i="2"/>
  <c r="HM6" i="2"/>
  <c r="IK7" i="2"/>
  <c r="IG29" i="2"/>
  <c r="HD28" i="2"/>
  <c r="FE27" i="2"/>
  <c r="HD29" i="2" s="1"/>
  <c r="II29" i="2"/>
  <c r="IM29" i="2"/>
  <c r="IL29" i="2"/>
  <c r="IF29" i="2"/>
  <c r="IJ29" i="2"/>
  <c r="HM20" i="2"/>
  <c r="FE20" i="2"/>
  <c r="HD22" i="2" s="1"/>
  <c r="HR21" i="2" s="1"/>
  <c r="GO13" i="2"/>
  <c r="GL19" i="2"/>
  <c r="GO19" i="2"/>
  <c r="GR14" i="2"/>
  <c r="GI14" i="2"/>
  <c r="GP14" i="2"/>
  <c r="GM14" i="2"/>
  <c r="GO14" i="2" s="1"/>
  <c r="GJ14" i="2"/>
  <c r="IH22" i="2"/>
  <c r="HO21" i="2"/>
  <c r="HH21" i="2"/>
  <c r="HL21" i="2"/>
  <c r="HK21" i="2"/>
  <c r="HI21" i="2"/>
  <c r="HN21" i="2"/>
  <c r="IK28" i="2"/>
  <c r="HP21" i="2"/>
  <c r="GL13" i="2"/>
  <c r="FQ4" i="2"/>
  <c r="FN4" i="2"/>
  <c r="GF27" i="2"/>
  <c r="FD27" i="2"/>
  <c r="GQ26" i="2"/>
  <c r="GN26" i="2"/>
  <c r="GM26" i="2"/>
  <c r="GJ26" i="2"/>
  <c r="GP26" i="2"/>
  <c r="GK26" i="2"/>
  <c r="GR26" i="2"/>
  <c r="FS12" i="2"/>
  <c r="FM12" i="2"/>
  <c r="FP12" i="2"/>
  <c r="FL12" i="2"/>
  <c r="FT12" i="2"/>
  <c r="FO12" i="2"/>
  <c r="FR12" i="2"/>
  <c r="FR27" i="2"/>
  <c r="FM27" i="2"/>
  <c r="FT27" i="2"/>
  <c r="FP27" i="2"/>
  <c r="FL27" i="2"/>
  <c r="FS27" i="2"/>
  <c r="FO27" i="2"/>
  <c r="FS5" i="2"/>
  <c r="FO5" i="2"/>
  <c r="FM5" i="2"/>
  <c r="FL5" i="2"/>
  <c r="FP5" i="2"/>
  <c r="FT5" i="2"/>
  <c r="FR5" i="2"/>
  <c r="HG13" i="2"/>
  <c r="HR14" i="2"/>
  <c r="HR15" i="2"/>
  <c r="HN15" i="2"/>
  <c r="HF15" i="2"/>
  <c r="HI15" i="2"/>
  <c r="HE15" i="2"/>
  <c r="HP15" i="2"/>
  <c r="HL15" i="2"/>
  <c r="HH15" i="2"/>
  <c r="HO15" i="2"/>
  <c r="HK15" i="2"/>
  <c r="IQ22" i="2"/>
  <c r="FS18" i="2"/>
  <c r="FO18" i="2"/>
  <c r="FR18" i="2"/>
  <c r="FM18" i="2"/>
  <c r="FT18" i="2"/>
  <c r="FP18" i="2"/>
  <c r="FL18" i="2"/>
  <c r="HR13" i="2"/>
  <c r="HE13" i="2"/>
  <c r="IQ21" i="2"/>
  <c r="HJ20" i="2"/>
  <c r="HQ13" i="2"/>
  <c r="HF14" i="2"/>
  <c r="HE14" i="2"/>
  <c r="FC6" i="2"/>
  <c r="FH6" i="2" s="1"/>
  <c r="DA8" i="2"/>
  <c r="V6" i="2"/>
  <c r="AA6" i="2" s="1"/>
  <c r="FC29" i="2"/>
  <c r="FH29" i="2" s="1"/>
  <c r="FH28" i="2"/>
  <c r="FC14" i="2"/>
  <c r="FH13" i="2"/>
  <c r="FH19" i="2"/>
  <c r="FC20" i="2"/>
  <c r="CC7" i="2"/>
  <c r="CC14" i="2"/>
  <c r="BE12" i="2"/>
  <c r="CC28" i="2"/>
  <c r="DA28" i="2"/>
  <c r="CC21" i="2"/>
  <c r="CC20" i="2"/>
  <c r="DA14" i="2"/>
  <c r="CC8" i="2"/>
  <c r="DA15" i="2"/>
  <c r="BE6" i="2"/>
  <c r="BE20" i="2"/>
  <c r="BU22" i="2"/>
  <c r="BE13" i="2"/>
  <c r="BU15" i="2"/>
  <c r="AG19" i="2"/>
  <c r="AG26" i="2"/>
  <c r="AG25" i="2"/>
  <c r="BV22" i="2"/>
  <c r="BV15" i="2"/>
  <c r="AY21" i="2"/>
  <c r="DJ14" i="2"/>
  <c r="DD14" i="2"/>
  <c r="W28" i="2"/>
  <c r="AY29" i="2" s="1"/>
  <c r="AY28" i="2"/>
  <c r="V22" i="2"/>
  <c r="AA22" i="2" s="1"/>
  <c r="AA21" i="2"/>
  <c r="V15" i="2"/>
  <c r="AA15" i="2" s="1"/>
  <c r="AA14" i="2"/>
  <c r="BH12" i="2"/>
  <c r="AA28" i="2"/>
  <c r="V29" i="2"/>
  <c r="AA29" i="2" s="1"/>
  <c r="BL6" i="2" l="1"/>
  <c r="FQ25" i="2"/>
  <c r="FN26" i="2"/>
  <c r="DD15" i="2"/>
  <c r="FN25" i="2"/>
  <c r="DJ15" i="2"/>
  <c r="DK15" i="2" s="1"/>
  <c r="DK14" i="2"/>
  <c r="CL22" i="2"/>
  <c r="CF22" i="2"/>
  <c r="CL15" i="2"/>
  <c r="CF15" i="2"/>
  <c r="CL29" i="2"/>
  <c r="CF29" i="2"/>
  <c r="IR21" i="2"/>
  <c r="HM15" i="2"/>
  <c r="GS14" i="2"/>
  <c r="GH14" i="2"/>
  <c r="GT14" i="2"/>
  <c r="GG14" i="2"/>
  <c r="AJ27" i="2"/>
  <c r="AJ13" i="2"/>
  <c r="AJ20" i="2"/>
  <c r="AO18" i="2"/>
  <c r="HG14" i="2"/>
  <c r="HF13" i="2"/>
  <c r="HS13" i="2" s="1"/>
  <c r="HG15" i="2"/>
  <c r="HQ15" i="2"/>
  <c r="HS15" i="2" s="1"/>
  <c r="HM14" i="2"/>
  <c r="IK8" i="2"/>
  <c r="GO12" i="2"/>
  <c r="AD25" i="2"/>
  <c r="AN12" i="2"/>
  <c r="BA27" i="2"/>
  <c r="V7" i="2"/>
  <c r="AA7" i="2" s="1"/>
  <c r="FN27" i="2"/>
  <c r="FQ27" i="2"/>
  <c r="GN7" i="2"/>
  <c r="GR7" i="2"/>
  <c r="GK7" i="2"/>
  <c r="GM7" i="2"/>
  <c r="GQ7" i="2"/>
  <c r="HJ7" i="2"/>
  <c r="GL12" i="2"/>
  <c r="FD7" i="2"/>
  <c r="GF8" i="2" s="1"/>
  <c r="GT5" i="2" s="1"/>
  <c r="GJ7" i="2"/>
  <c r="GL20" i="2"/>
  <c r="GJ15" i="2"/>
  <c r="GG15" i="2"/>
  <c r="GH15" i="2"/>
  <c r="GM15" i="2"/>
  <c r="HL8" i="2"/>
  <c r="HQ8" i="2"/>
  <c r="HF7" i="2"/>
  <c r="HG8" i="2"/>
  <c r="HE6" i="2"/>
  <c r="GS13" i="2"/>
  <c r="GI15" i="2"/>
  <c r="GS15" i="2"/>
  <c r="HG7" i="2"/>
  <c r="HF6" i="2"/>
  <c r="HH8" i="2"/>
  <c r="HI8" i="2"/>
  <c r="GG12" i="2"/>
  <c r="GH13" i="2"/>
  <c r="GL14" i="2"/>
  <c r="GI12" i="2"/>
  <c r="HR7" i="2"/>
  <c r="GQ15" i="2"/>
  <c r="GN15" i="2"/>
  <c r="GO15" i="2" s="1"/>
  <c r="GK15" i="2"/>
  <c r="GP15" i="2"/>
  <c r="HR6" i="2"/>
  <c r="HQ6" i="2"/>
  <c r="GG13" i="2"/>
  <c r="HF8" i="2"/>
  <c r="HK8" i="2"/>
  <c r="HM8" i="2" s="1"/>
  <c r="GH12" i="2"/>
  <c r="GR15" i="2"/>
  <c r="GT15" i="2"/>
  <c r="GU15" i="2" s="1"/>
  <c r="GT12" i="2"/>
  <c r="HE8" i="2"/>
  <c r="HN8" i="2"/>
  <c r="GT13" i="2"/>
  <c r="GI13" i="2"/>
  <c r="IH15" i="2"/>
  <c r="FN11" i="2"/>
  <c r="IQ14" i="2"/>
  <c r="AN27" i="2"/>
  <c r="AD13" i="2"/>
  <c r="AC12" i="2"/>
  <c r="BA26" i="2"/>
  <c r="AC20" i="2"/>
  <c r="AB12" i="2"/>
  <c r="AD11" i="2"/>
  <c r="AD19" i="2"/>
  <c r="AD18" i="2"/>
  <c r="AE14" i="2"/>
  <c r="AM14" i="2"/>
  <c r="AI14" i="2"/>
  <c r="AL14" i="2"/>
  <c r="AH14" i="2"/>
  <c r="AK14" i="2"/>
  <c r="AF14" i="2"/>
  <c r="AO14" i="2"/>
  <c r="AN14" i="2"/>
  <c r="AB14" i="2"/>
  <c r="AD14" i="2"/>
  <c r="AC14" i="2"/>
  <c r="BN28" i="2"/>
  <c r="BJ28" i="2"/>
  <c r="BF28" i="2"/>
  <c r="BA28" i="2"/>
  <c r="BM28" i="2"/>
  <c r="BI28" i="2"/>
  <c r="BD28" i="2"/>
  <c r="AZ28" i="2"/>
  <c r="BL28" i="2"/>
  <c r="BH28" i="2"/>
  <c r="BC28" i="2"/>
  <c r="BO28" i="2"/>
  <c r="BK28" i="2"/>
  <c r="BG28" i="2"/>
  <c r="BB28" i="2"/>
  <c r="AL7" i="2"/>
  <c r="AF7" i="2"/>
  <c r="AK7" i="2"/>
  <c r="AE7" i="2"/>
  <c r="AI7" i="2"/>
  <c r="AM7" i="2"/>
  <c r="AH7" i="2"/>
  <c r="AK6" i="2"/>
  <c r="AE6" i="2"/>
  <c r="AI6" i="2"/>
  <c r="AM6" i="2"/>
  <c r="AH6" i="2"/>
  <c r="AL6" i="2"/>
  <c r="AF6" i="2"/>
  <c r="AD26" i="2"/>
  <c r="AC25" i="2"/>
  <c r="AB27" i="2"/>
  <c r="AC27" i="2"/>
  <c r="AN13" i="2"/>
  <c r="AO13" i="2"/>
  <c r="BB26" i="2"/>
  <c r="BL27" i="2"/>
  <c r="AD20" i="2"/>
  <c r="AB11" i="2"/>
  <c r="AO19" i="2"/>
  <c r="AN19" i="2"/>
  <c r="AB18" i="2"/>
  <c r="AL29" i="2"/>
  <c r="AH29" i="2"/>
  <c r="AK29" i="2"/>
  <c r="AF29" i="2"/>
  <c r="AE29" i="2"/>
  <c r="AM29" i="2"/>
  <c r="AI29" i="2"/>
  <c r="AC29" i="2"/>
  <c r="AO29" i="2"/>
  <c r="AN29" i="2"/>
  <c r="AB29" i="2"/>
  <c r="AD29" i="2"/>
  <c r="AM15" i="2"/>
  <c r="AI15" i="2"/>
  <c r="AL15" i="2"/>
  <c r="AH15" i="2"/>
  <c r="AK15" i="2"/>
  <c r="AF15" i="2"/>
  <c r="AE15" i="2"/>
  <c r="AN15" i="2"/>
  <c r="AD15" i="2"/>
  <c r="AC15" i="2"/>
  <c r="AO15" i="2"/>
  <c r="AB15" i="2"/>
  <c r="BN29" i="2"/>
  <c r="BJ29" i="2"/>
  <c r="BF29" i="2"/>
  <c r="BA29" i="2"/>
  <c r="BM29" i="2"/>
  <c r="BI29" i="2"/>
  <c r="BD29" i="2"/>
  <c r="AZ29" i="2"/>
  <c r="BL29" i="2"/>
  <c r="BH29" i="2"/>
  <c r="BC29" i="2"/>
  <c r="BO29" i="2"/>
  <c r="BK29" i="2"/>
  <c r="BG29" i="2"/>
  <c r="BB29" i="2"/>
  <c r="BJ21" i="2"/>
  <c r="BF21" i="2"/>
  <c r="BA21" i="2"/>
  <c r="BM21" i="2"/>
  <c r="BI21" i="2"/>
  <c r="BD21" i="2"/>
  <c r="AZ21" i="2"/>
  <c r="BN21" i="2" s="1"/>
  <c r="BL21" i="2"/>
  <c r="BC21" i="2"/>
  <c r="BK21" i="2"/>
  <c r="BG21" i="2"/>
  <c r="BB21" i="2"/>
  <c r="BM19" i="2"/>
  <c r="BB20" i="2"/>
  <c r="BM20" i="2"/>
  <c r="BB19" i="2"/>
  <c r="BL19" i="2"/>
  <c r="BA20" i="2"/>
  <c r="BA19" i="2"/>
  <c r="AZ20" i="2"/>
  <c r="AZ19" i="2"/>
  <c r="BL20" i="2"/>
  <c r="AL28" i="2"/>
  <c r="AH28" i="2"/>
  <c r="AK28" i="2"/>
  <c r="AF28" i="2"/>
  <c r="AE28" i="2"/>
  <c r="AM28" i="2"/>
  <c r="AI28" i="2"/>
  <c r="AC28" i="2"/>
  <c r="AO28" i="2"/>
  <c r="AB28" i="2"/>
  <c r="AD28" i="2"/>
  <c r="AN28" i="2"/>
  <c r="AL21" i="2"/>
  <c r="AH21" i="2"/>
  <c r="AK21" i="2"/>
  <c r="AF21" i="2"/>
  <c r="AE21" i="2"/>
  <c r="AM21" i="2"/>
  <c r="AI21" i="2"/>
  <c r="AN21" i="2"/>
  <c r="AD21" i="2"/>
  <c r="AC21" i="2"/>
  <c r="AO21" i="2"/>
  <c r="AB21" i="2"/>
  <c r="AL22" i="2"/>
  <c r="AH22" i="2"/>
  <c r="AK22" i="2"/>
  <c r="AF22" i="2"/>
  <c r="AE22" i="2"/>
  <c r="AM22" i="2"/>
  <c r="AI22" i="2"/>
  <c r="AC22" i="2"/>
  <c r="AN22" i="2"/>
  <c r="AD22" i="2"/>
  <c r="AO22" i="2"/>
  <c r="AB22" i="2"/>
  <c r="HE7" i="2"/>
  <c r="HP8" i="2"/>
  <c r="HR8" i="2"/>
  <c r="HO8" i="2"/>
  <c r="HQ7" i="2"/>
  <c r="IQ7" i="2"/>
  <c r="IK15" i="2"/>
  <c r="AO12" i="2"/>
  <c r="AO27" i="2"/>
  <c r="AB13" i="2"/>
  <c r="AC26" i="2"/>
  <c r="AN25" i="2"/>
  <c r="BL26" i="2"/>
  <c r="AZ26" i="2"/>
  <c r="AZ27" i="2"/>
  <c r="AN20" i="2"/>
  <c r="AN11" i="2"/>
  <c r="AB19" i="2"/>
  <c r="AC18" i="2"/>
  <c r="AD27" i="2"/>
  <c r="AC13" i="2"/>
  <c r="AB25" i="2"/>
  <c r="AN26" i="2"/>
  <c r="AO25" i="2"/>
  <c r="BM26" i="2"/>
  <c r="BM27" i="2"/>
  <c r="BB27" i="2"/>
  <c r="AO20" i="2"/>
  <c r="AB20" i="2"/>
  <c r="AO26" i="2"/>
  <c r="AD12" i="2"/>
  <c r="AC11" i="2"/>
  <c r="AO11" i="2"/>
  <c r="AC19" i="2"/>
  <c r="AN18" i="2"/>
  <c r="AB26" i="2"/>
  <c r="FD21" i="2"/>
  <c r="GF22" i="2" s="1"/>
  <c r="GI19" i="2" s="1"/>
  <c r="GQ21" i="2"/>
  <c r="GN21" i="2"/>
  <c r="GO21" i="2" s="1"/>
  <c r="GK21" i="2"/>
  <c r="GP21" i="2"/>
  <c r="GM21" i="2"/>
  <c r="GJ21" i="2"/>
  <c r="GR21" i="2"/>
  <c r="IH8" i="2"/>
  <c r="IQ8" i="2"/>
  <c r="IQ15" i="2"/>
  <c r="GL6" i="2"/>
  <c r="IK29" i="2"/>
  <c r="IH29" i="2"/>
  <c r="HF27" i="2"/>
  <c r="HG29" i="2"/>
  <c r="HF29" i="2"/>
  <c r="HE29" i="2"/>
  <c r="HP29" i="2"/>
  <c r="HQ29" i="2"/>
  <c r="HL29" i="2"/>
  <c r="HO29" i="2"/>
  <c r="HR29" i="2"/>
  <c r="HH29" i="2"/>
  <c r="HK29" i="2"/>
  <c r="HM29" i="2" s="1"/>
  <c r="HN29" i="2"/>
  <c r="HI29" i="2"/>
  <c r="IB30" i="2" s="1"/>
  <c r="HK28" i="2"/>
  <c r="HO28" i="2"/>
  <c r="HR28" i="2"/>
  <c r="HQ28" i="2"/>
  <c r="HF28" i="2"/>
  <c r="HG28" i="2"/>
  <c r="HE27" i="2"/>
  <c r="HL28" i="2"/>
  <c r="HH28" i="2"/>
  <c r="HN28" i="2"/>
  <c r="HE28" i="2"/>
  <c r="HR27" i="2"/>
  <c r="HQ27" i="2"/>
  <c r="HI28" i="2"/>
  <c r="HP28" i="2"/>
  <c r="HG27" i="2"/>
  <c r="HR22" i="2"/>
  <c r="FN18" i="2"/>
  <c r="FQ12" i="2"/>
  <c r="GG7" i="2"/>
  <c r="GH7" i="2"/>
  <c r="IR22" i="2"/>
  <c r="GT7" i="2"/>
  <c r="GI7" i="2"/>
  <c r="GS7" i="2"/>
  <c r="HG20" i="2"/>
  <c r="HO22" i="2"/>
  <c r="HQ20" i="2"/>
  <c r="HP22" i="2"/>
  <c r="HQ21" i="2"/>
  <c r="HF20" i="2"/>
  <c r="HQ22" i="2"/>
  <c r="HR20" i="2"/>
  <c r="HF21" i="2"/>
  <c r="HE20" i="2"/>
  <c r="HH22" i="2"/>
  <c r="HE22" i="2"/>
  <c r="HF22" i="2"/>
  <c r="HG22" i="2"/>
  <c r="HE21" i="2"/>
  <c r="HL22" i="2"/>
  <c r="HI22" i="2"/>
  <c r="HN22" i="2"/>
  <c r="HK22" i="2"/>
  <c r="HG21" i="2"/>
  <c r="HJ21" i="2"/>
  <c r="HM21" i="2"/>
  <c r="FJ27" i="2"/>
  <c r="GO26" i="2"/>
  <c r="FJ25" i="2"/>
  <c r="FC7" i="2"/>
  <c r="FH7" i="2" s="1"/>
  <c r="FN12" i="2"/>
  <c r="GT6" i="2"/>
  <c r="GL26" i="2"/>
  <c r="GF28" i="2"/>
  <c r="FD28" i="2"/>
  <c r="GF29" i="2" s="1"/>
  <c r="FQ18" i="2"/>
  <c r="GP27" i="2"/>
  <c r="GJ27" i="2"/>
  <c r="GK27" i="2"/>
  <c r="GQ27" i="2"/>
  <c r="GR27" i="2"/>
  <c r="GM27" i="2"/>
  <c r="GN27" i="2"/>
  <c r="FQ5" i="2"/>
  <c r="FK27" i="2"/>
  <c r="FU27" i="2"/>
  <c r="FT13" i="2"/>
  <c r="FP13" i="2"/>
  <c r="FL13" i="2"/>
  <c r="FS13" i="2"/>
  <c r="FO13" i="2"/>
  <c r="FR13" i="2"/>
  <c r="FM13" i="2"/>
  <c r="FT29" i="2"/>
  <c r="FP29" i="2"/>
  <c r="FL29" i="2"/>
  <c r="FS29" i="2"/>
  <c r="FO29" i="2"/>
  <c r="FK29" i="2"/>
  <c r="FV29" i="2"/>
  <c r="FR29" i="2"/>
  <c r="FJ29" i="2"/>
  <c r="FU29" i="2"/>
  <c r="FM29" i="2"/>
  <c r="FI29" i="2"/>
  <c r="HS14" i="2"/>
  <c r="IT21" i="2"/>
  <c r="IW21" i="2"/>
  <c r="IS21" i="2"/>
  <c r="IV21" i="2"/>
  <c r="IU21" i="2"/>
  <c r="GI6" i="2"/>
  <c r="GG5" i="2"/>
  <c r="FU25" i="2"/>
  <c r="FI27" i="2"/>
  <c r="FM6" i="2"/>
  <c r="FT6" i="2"/>
  <c r="FP6" i="2"/>
  <c r="FL6" i="2"/>
  <c r="FS6" i="2"/>
  <c r="FO6" i="2"/>
  <c r="FR6" i="2"/>
  <c r="FS19" i="2"/>
  <c r="FO19" i="2"/>
  <c r="FM19" i="2"/>
  <c r="FT19" i="2"/>
  <c r="FL19" i="2"/>
  <c r="FR19" i="2"/>
  <c r="FP19" i="2"/>
  <c r="GQ8" i="2"/>
  <c r="GM8" i="2"/>
  <c r="GI8" i="2"/>
  <c r="GT8" i="2"/>
  <c r="GP8" i="2"/>
  <c r="GH8" i="2"/>
  <c r="GS8" i="2"/>
  <c r="GK8" i="2"/>
  <c r="GG8" i="2"/>
  <c r="GR8" i="2"/>
  <c r="GN8" i="2"/>
  <c r="GJ8" i="2"/>
  <c r="GS5" i="2"/>
  <c r="FS28" i="2"/>
  <c r="FO28" i="2"/>
  <c r="FK28" i="2"/>
  <c r="FV28" i="2"/>
  <c r="FR28" i="2"/>
  <c r="FJ28" i="2"/>
  <c r="FU28" i="2"/>
  <c r="FM28" i="2"/>
  <c r="FI28" i="2"/>
  <c r="FT28" i="2"/>
  <c r="FP28" i="2"/>
  <c r="FL28" i="2"/>
  <c r="FJ26" i="2"/>
  <c r="FV25" i="2"/>
  <c r="FI26" i="2"/>
  <c r="FK26" i="2"/>
  <c r="GS6" i="2"/>
  <c r="IU22" i="2"/>
  <c r="IV22" i="2"/>
  <c r="IT22" i="2"/>
  <c r="IS22" i="2"/>
  <c r="IW22" i="2"/>
  <c r="GH6" i="2"/>
  <c r="FU26" i="2"/>
  <c r="GI5" i="2"/>
  <c r="FN5" i="2"/>
  <c r="FK25" i="2"/>
  <c r="HJ15" i="2"/>
  <c r="GH5" i="2"/>
  <c r="FV26" i="2"/>
  <c r="FI25" i="2"/>
  <c r="FV27" i="2"/>
  <c r="GG6" i="2"/>
  <c r="DM14" i="2"/>
  <c r="DP14" i="2"/>
  <c r="DL14" i="2"/>
  <c r="DO14" i="2"/>
  <c r="DN14" i="2"/>
  <c r="DN15" i="2"/>
  <c r="DM15" i="2"/>
  <c r="DP15" i="2"/>
  <c r="DL15" i="2"/>
  <c r="DO15" i="2"/>
  <c r="FC21" i="2"/>
  <c r="FH20" i="2"/>
  <c r="FC15" i="2"/>
  <c r="FH15" i="2" s="1"/>
  <c r="FH14" i="2"/>
  <c r="DA22" i="2"/>
  <c r="V8" i="2"/>
  <c r="AA8" i="2" s="1"/>
  <c r="AN5" i="2" s="1"/>
  <c r="DA21" i="2"/>
  <c r="CC15" i="2"/>
  <c r="AG18" i="2"/>
  <c r="CC29" i="2"/>
  <c r="AG27" i="2"/>
  <c r="BE7" i="2"/>
  <c r="BE15" i="2"/>
  <c r="BE8" i="2"/>
  <c r="BE27" i="2"/>
  <c r="BU29" i="2"/>
  <c r="BE22" i="2"/>
  <c r="BE14" i="2"/>
  <c r="AG13" i="2"/>
  <c r="AG20" i="2"/>
  <c r="CF21" i="2"/>
  <c r="CL21" i="2"/>
  <c r="DJ21" i="2"/>
  <c r="BN12" i="2"/>
  <c r="CF20" i="2"/>
  <c r="CL20" i="2"/>
  <c r="DJ22" i="2"/>
  <c r="DK22" i="2" s="1"/>
  <c r="DD22" i="2"/>
  <c r="DD21" i="2"/>
  <c r="BN13" i="2"/>
  <c r="BH13" i="2"/>
  <c r="BN5" i="2"/>
  <c r="BO7" i="2" s="1"/>
  <c r="BH6" i="2"/>
  <c r="BH5" i="2"/>
  <c r="BN6" i="2"/>
  <c r="CN22" i="2" l="1"/>
  <c r="IR15" i="2"/>
  <c r="HS29" i="2"/>
  <c r="BH21" i="2"/>
  <c r="BO8" i="2"/>
  <c r="GO7" i="2"/>
  <c r="DK21" i="2"/>
  <c r="CM22" i="2"/>
  <c r="AP22" i="2"/>
  <c r="AP21" i="2"/>
  <c r="AP15" i="2"/>
  <c r="AJ21" i="2"/>
  <c r="AJ28" i="2"/>
  <c r="AJ22" i="2"/>
  <c r="AJ29" i="2"/>
  <c r="IR7" i="2"/>
  <c r="IR8" i="2"/>
  <c r="IX21" i="2"/>
  <c r="IY21" i="2" s="1"/>
  <c r="IY22" i="2" s="1"/>
  <c r="HS22" i="2"/>
  <c r="HM22" i="2"/>
  <c r="IR14" i="2"/>
  <c r="HS8" i="2"/>
  <c r="HT15" i="2"/>
  <c r="HT13" i="2"/>
  <c r="GU14" i="2"/>
  <c r="GU8" i="2"/>
  <c r="GH21" i="2"/>
  <c r="GO8" i="2"/>
  <c r="GG21" i="2"/>
  <c r="GI21" i="2"/>
  <c r="GS21" i="2"/>
  <c r="GT21" i="2"/>
  <c r="AJ14" i="2"/>
  <c r="AP28" i="2"/>
  <c r="AP29" i="2"/>
  <c r="AJ15" i="2"/>
  <c r="AP14" i="2"/>
  <c r="AP20" i="2"/>
  <c r="AP13" i="2"/>
  <c r="AP27" i="2"/>
  <c r="FQ29" i="2"/>
  <c r="FW29" i="2"/>
  <c r="FQ13" i="2"/>
  <c r="HJ8" i="2"/>
  <c r="GL15" i="2"/>
  <c r="FN6" i="2"/>
  <c r="FQ28" i="2"/>
  <c r="FQ6" i="2"/>
  <c r="FW28" i="2"/>
  <c r="FW27" i="2"/>
  <c r="GU12" i="2"/>
  <c r="GL7" i="2"/>
  <c r="HS7" i="2"/>
  <c r="GI20" i="2"/>
  <c r="GU13" i="2"/>
  <c r="GZ15" i="2" s="1"/>
  <c r="HS6" i="2"/>
  <c r="IS15" i="2"/>
  <c r="IW14" i="2"/>
  <c r="IS8" i="2"/>
  <c r="IT7" i="2"/>
  <c r="GL21" i="2"/>
  <c r="GT20" i="2"/>
  <c r="GP22" i="2"/>
  <c r="IU7" i="2"/>
  <c r="GN22" i="2"/>
  <c r="IT14" i="2"/>
  <c r="GK22" i="2"/>
  <c r="AC5" i="2"/>
  <c r="AN4" i="2"/>
  <c r="AC6" i="2"/>
  <c r="AN7" i="2"/>
  <c r="AD5" i="2"/>
  <c r="AD6" i="2"/>
  <c r="AD7" i="2"/>
  <c r="AO7" i="2"/>
  <c r="AB4" i="2"/>
  <c r="AD4" i="2"/>
  <c r="IW15" i="2"/>
  <c r="GM22" i="2"/>
  <c r="GS19" i="2"/>
  <c r="AO4" i="2"/>
  <c r="AB5" i="2"/>
  <c r="AN6" i="2"/>
  <c r="AB7" i="2"/>
  <c r="AM8" i="2"/>
  <c r="AH8" i="2"/>
  <c r="AL8" i="2"/>
  <c r="AF8" i="2"/>
  <c r="AK8" i="2"/>
  <c r="AE8" i="2"/>
  <c r="AI8" i="2"/>
  <c r="AB8" i="2"/>
  <c r="AN8" i="2"/>
  <c r="AC8" i="2"/>
  <c r="AO8" i="2"/>
  <c r="AD8" i="2"/>
  <c r="BP7" i="2"/>
  <c r="AC4" i="2"/>
  <c r="AO5" i="2"/>
  <c r="AB6" i="2"/>
  <c r="AO6" i="2"/>
  <c r="AC7" i="2"/>
  <c r="IU14" i="2"/>
  <c r="IU15" i="2"/>
  <c r="IT15" i="2"/>
  <c r="IV14" i="2"/>
  <c r="IV15" i="2"/>
  <c r="IS14" i="2"/>
  <c r="GG20" i="2"/>
  <c r="IW8" i="2"/>
  <c r="IV7" i="2"/>
  <c r="GR22" i="2"/>
  <c r="GO22" i="2"/>
  <c r="GT22" i="2"/>
  <c r="GQ22" i="2"/>
  <c r="GT19" i="2"/>
  <c r="GV13" i="2"/>
  <c r="GH20" i="2"/>
  <c r="IT8" i="2"/>
  <c r="IS7" i="2"/>
  <c r="GS20" i="2"/>
  <c r="GH19" i="2"/>
  <c r="GS22" i="2"/>
  <c r="IV8" i="2"/>
  <c r="IU8" i="2"/>
  <c r="IW7" i="2"/>
  <c r="GG19" i="2"/>
  <c r="GJ22" i="2"/>
  <c r="GG22" i="2"/>
  <c r="GH22" i="2"/>
  <c r="GI22" i="2"/>
  <c r="HM28" i="2"/>
  <c r="HS28" i="2"/>
  <c r="HS27" i="2"/>
  <c r="HT14" i="2"/>
  <c r="HJ29" i="2"/>
  <c r="HJ28" i="2"/>
  <c r="IC29" i="2"/>
  <c r="IO29" i="2"/>
  <c r="ID29" i="2"/>
  <c r="IE28" i="2"/>
  <c r="IO28" i="2"/>
  <c r="IE29" i="2"/>
  <c r="ID28" i="2"/>
  <c r="IC28" i="2"/>
  <c r="IP28" i="2"/>
  <c r="IP29" i="2"/>
  <c r="HS20" i="2"/>
  <c r="HS21" i="2"/>
  <c r="FN28" i="2"/>
  <c r="HJ22" i="2"/>
  <c r="IX22" i="2"/>
  <c r="GU7" i="2"/>
  <c r="FC8" i="2"/>
  <c r="FH8" i="2" s="1"/>
  <c r="FK5" i="2" s="1"/>
  <c r="BQ14" i="2"/>
  <c r="HY15" i="2"/>
  <c r="FW25" i="2"/>
  <c r="GL8" i="2"/>
  <c r="GO27" i="2"/>
  <c r="GL27" i="2"/>
  <c r="GG26" i="2"/>
  <c r="GI29" i="2"/>
  <c r="GH29" i="2"/>
  <c r="GG29" i="2"/>
  <c r="GR29" i="2"/>
  <c r="GS29" i="2"/>
  <c r="GN29" i="2"/>
  <c r="GQ29" i="2"/>
  <c r="GT29" i="2"/>
  <c r="GJ29" i="2"/>
  <c r="GM29" i="2"/>
  <c r="GO29" i="2" s="1"/>
  <c r="GP29" i="2"/>
  <c r="GK29" i="2"/>
  <c r="GI28" i="2"/>
  <c r="GH28" i="2"/>
  <c r="GG28" i="2"/>
  <c r="GJ28" i="2"/>
  <c r="GS28" i="2"/>
  <c r="GQ28" i="2"/>
  <c r="GT28" i="2"/>
  <c r="GR28" i="2"/>
  <c r="GM28" i="2"/>
  <c r="GP28" i="2"/>
  <c r="GK28" i="2"/>
  <c r="GN28" i="2"/>
  <c r="GS26" i="2"/>
  <c r="GS27" i="2"/>
  <c r="GI27" i="2"/>
  <c r="GG27" i="2"/>
  <c r="GT26" i="2"/>
  <c r="GH26" i="2"/>
  <c r="GH27" i="2"/>
  <c r="GT27" i="2"/>
  <c r="GI26" i="2"/>
  <c r="FU14" i="2"/>
  <c r="FM14" i="2"/>
  <c r="FI14" i="2"/>
  <c r="FT14" i="2"/>
  <c r="FP14" i="2"/>
  <c r="FL14" i="2"/>
  <c r="FS14" i="2"/>
  <c r="FO14" i="2"/>
  <c r="FK14" i="2"/>
  <c r="FV14" i="2"/>
  <c r="FR14" i="2"/>
  <c r="FJ14" i="2"/>
  <c r="FQ19" i="2"/>
  <c r="HW15" i="2"/>
  <c r="HV15" i="2"/>
  <c r="FN13" i="2"/>
  <c r="FV12" i="2"/>
  <c r="HX15" i="2"/>
  <c r="FV13" i="2"/>
  <c r="FT20" i="2"/>
  <c r="FP20" i="2"/>
  <c r="FL20" i="2"/>
  <c r="FS20" i="2"/>
  <c r="FO20" i="2"/>
  <c r="FR20" i="2"/>
  <c r="FM20" i="2"/>
  <c r="GU6" i="2"/>
  <c r="FU12" i="2"/>
  <c r="HX13" i="2"/>
  <c r="HW13" i="2"/>
  <c r="HV13" i="2"/>
  <c r="HY13" i="2"/>
  <c r="HU13" i="2"/>
  <c r="FW26" i="2"/>
  <c r="FN19" i="2"/>
  <c r="FJ12" i="2"/>
  <c r="GU5" i="2"/>
  <c r="HU15" i="2"/>
  <c r="FN29" i="2"/>
  <c r="FU11" i="2"/>
  <c r="FU13" i="2"/>
  <c r="FJ11" i="2"/>
  <c r="FV11" i="2"/>
  <c r="FK12" i="2"/>
  <c r="FV15" i="2"/>
  <c r="FR15" i="2"/>
  <c r="FJ15" i="2"/>
  <c r="FU15" i="2"/>
  <c r="FM15" i="2"/>
  <c r="FI15" i="2"/>
  <c r="FT15" i="2"/>
  <c r="FP15" i="2"/>
  <c r="FL15" i="2"/>
  <c r="FS15" i="2"/>
  <c r="FO15" i="2"/>
  <c r="FK15" i="2"/>
  <c r="FK11" i="2"/>
  <c r="FR7" i="2"/>
  <c r="FM7" i="2"/>
  <c r="FT7" i="2"/>
  <c r="FP7" i="2"/>
  <c r="FL7" i="2"/>
  <c r="FS7" i="2"/>
  <c r="FO7" i="2"/>
  <c r="FI12" i="2"/>
  <c r="HY14" i="2"/>
  <c r="HU14" i="2"/>
  <c r="HX14" i="2"/>
  <c r="HW14" i="2"/>
  <c r="HV14" i="2"/>
  <c r="FI13" i="2"/>
  <c r="FJ13" i="2"/>
  <c r="FK13" i="2"/>
  <c r="FI11" i="2"/>
  <c r="BT13" i="2"/>
  <c r="BP13" i="2"/>
  <c r="BS13" i="2"/>
  <c r="BO13" i="2"/>
  <c r="BR13" i="2"/>
  <c r="BQ13" i="2"/>
  <c r="CP21" i="2"/>
  <c r="CO21" i="2"/>
  <c r="CR21" i="2"/>
  <c r="CN21" i="2"/>
  <c r="CQ21" i="2"/>
  <c r="CM21" i="2"/>
  <c r="BT8" i="2"/>
  <c r="BS8" i="2"/>
  <c r="BR8" i="2"/>
  <c r="BT15" i="2"/>
  <c r="BS15" i="2"/>
  <c r="BR15" i="2"/>
  <c r="CO22" i="2"/>
  <c r="BQ5" i="2"/>
  <c r="BT5" i="2"/>
  <c r="BP5" i="2"/>
  <c r="BS5" i="2"/>
  <c r="BO5" i="2"/>
  <c r="BR5" i="2"/>
  <c r="BS12" i="2"/>
  <c r="BO12" i="2"/>
  <c r="BR12" i="2"/>
  <c r="BQ12" i="2"/>
  <c r="BT12" i="2"/>
  <c r="BP12" i="2"/>
  <c r="BT7" i="2"/>
  <c r="BS7" i="2"/>
  <c r="BR7" i="2"/>
  <c r="BQ8" i="2"/>
  <c r="BP15" i="2"/>
  <c r="CP22" i="2"/>
  <c r="CQ22" i="2"/>
  <c r="BQ6" i="2"/>
  <c r="BT6" i="2"/>
  <c r="BP6" i="2"/>
  <c r="BS6" i="2"/>
  <c r="BO6" i="2"/>
  <c r="BR6" i="2"/>
  <c r="DM22" i="2"/>
  <c r="DP22" i="2"/>
  <c r="DL22" i="2"/>
  <c r="DO22" i="2"/>
  <c r="DN22" i="2"/>
  <c r="DP21" i="2"/>
  <c r="DL21" i="2"/>
  <c r="DO21" i="2"/>
  <c r="DN21" i="2"/>
  <c r="DM21" i="2"/>
  <c r="BQ7" i="2"/>
  <c r="BQ15" i="2"/>
  <c r="CO20" i="2"/>
  <c r="CR20" i="2"/>
  <c r="CN20" i="2"/>
  <c r="CQ20" i="2"/>
  <c r="CM20" i="2"/>
  <c r="CP20" i="2"/>
  <c r="BT14" i="2"/>
  <c r="BS14" i="2"/>
  <c r="BR14" i="2"/>
  <c r="BP8" i="2"/>
  <c r="BP14" i="2"/>
  <c r="CR22" i="2"/>
  <c r="FC22" i="2"/>
  <c r="FH22" i="2" s="1"/>
  <c r="FH21" i="2"/>
  <c r="AG14" i="2"/>
  <c r="AG21" i="2"/>
  <c r="AG28" i="2"/>
  <c r="BE21" i="2"/>
  <c r="BE28" i="2"/>
  <c r="BE29" i="2"/>
  <c r="AG29" i="2"/>
  <c r="AG15" i="2"/>
  <c r="AG22" i="2"/>
  <c r="CF13" i="2"/>
  <c r="DQ15" i="2"/>
  <c r="DQ14" i="2"/>
  <c r="DR14" i="2" s="1"/>
  <c r="DR15" i="2" s="1"/>
  <c r="BN19" i="2"/>
  <c r="AJ6" i="2"/>
  <c r="AG7" i="2"/>
  <c r="AJ7" i="2"/>
  <c r="AG6" i="2"/>
  <c r="AG5" i="2"/>
  <c r="AJ5" i="2"/>
  <c r="AJ4" i="2"/>
  <c r="AG4" i="2"/>
  <c r="BN20" i="2"/>
  <c r="BH19" i="2"/>
  <c r="BH20" i="2"/>
  <c r="CU30" i="2"/>
  <c r="AJ25" i="2"/>
  <c r="AP12" i="2"/>
  <c r="BH27" i="2"/>
  <c r="AJ11" i="2"/>
  <c r="BH26" i="2"/>
  <c r="AP11" i="2"/>
  <c r="CL14" i="2"/>
  <c r="BN27" i="2"/>
  <c r="BN26" i="2"/>
  <c r="CF14" i="2"/>
  <c r="AP26" i="2"/>
  <c r="CF7" i="2"/>
  <c r="AP19" i="2"/>
  <c r="AJ12" i="2"/>
  <c r="CF6" i="2"/>
  <c r="AJ26" i="2"/>
  <c r="AJ18" i="2"/>
  <c r="AP18" i="2"/>
  <c r="AJ19" i="2"/>
  <c r="AP25" i="2"/>
  <c r="CL13" i="2"/>
  <c r="CL7" i="2"/>
  <c r="CL6" i="2"/>
  <c r="DD8" i="2"/>
  <c r="DJ8" i="2"/>
  <c r="DD7" i="2"/>
  <c r="DJ7" i="2"/>
  <c r="GZ12" i="2" l="1"/>
  <c r="GZ14" i="2"/>
  <c r="GY14" i="2"/>
  <c r="GW13" i="2"/>
  <c r="GX15" i="2"/>
  <c r="GW15" i="2"/>
  <c r="HA13" i="2"/>
  <c r="AQ14" i="2"/>
  <c r="GY13" i="2"/>
  <c r="GV12" i="2"/>
  <c r="HT6" i="2"/>
  <c r="HT8" i="2"/>
  <c r="GU22" i="2"/>
  <c r="AP4" i="2"/>
  <c r="GX13" i="2"/>
  <c r="HA14" i="2"/>
  <c r="GX12" i="2"/>
  <c r="GZ13" i="2"/>
  <c r="GW14" i="2"/>
  <c r="GY12" i="2"/>
  <c r="GW12" i="2"/>
  <c r="AP7" i="2"/>
  <c r="GX14" i="2"/>
  <c r="HA12" i="2"/>
  <c r="GY15" i="2"/>
  <c r="BO19" i="2"/>
  <c r="AP8" i="2"/>
  <c r="AP6" i="2"/>
  <c r="BO21" i="2"/>
  <c r="BO20" i="2"/>
  <c r="CS22" i="2"/>
  <c r="CM14" i="2"/>
  <c r="AP5" i="2"/>
  <c r="CM7" i="2"/>
  <c r="HW6" i="2"/>
  <c r="HX7" i="2"/>
  <c r="GL22" i="2"/>
  <c r="DK8" i="2"/>
  <c r="DK7" i="2"/>
  <c r="CM13" i="2"/>
  <c r="CM15" i="2"/>
  <c r="HT28" i="2"/>
  <c r="IX7" i="2"/>
  <c r="IY7" i="2" s="1"/>
  <c r="IY8" i="2" s="1"/>
  <c r="IX14" i="2"/>
  <c r="IY14" i="2" s="1"/>
  <c r="IY15" i="2" s="1"/>
  <c r="IX15" i="2"/>
  <c r="IX8" i="2"/>
  <c r="HT22" i="2"/>
  <c r="HZ15" i="2"/>
  <c r="HT7" i="2"/>
  <c r="HT27" i="2"/>
  <c r="GV15" i="2"/>
  <c r="HT29" i="2"/>
  <c r="GU29" i="2"/>
  <c r="GV14" i="2"/>
  <c r="HB14" i="2" s="1"/>
  <c r="GU21" i="2"/>
  <c r="GZ21" i="2" s="1"/>
  <c r="GV8" i="2"/>
  <c r="AQ22" i="2"/>
  <c r="HA15" i="2"/>
  <c r="FX26" i="2"/>
  <c r="HU8" i="2"/>
  <c r="AQ25" i="2"/>
  <c r="AT27" i="2"/>
  <c r="AQ13" i="2"/>
  <c r="AQ15" i="2"/>
  <c r="AQ20" i="2"/>
  <c r="AQ28" i="2"/>
  <c r="AQ7" i="2"/>
  <c r="AQ26" i="2"/>
  <c r="AQ21" i="2"/>
  <c r="AQ27" i="2"/>
  <c r="AQ29" i="2"/>
  <c r="AQ12" i="2"/>
  <c r="AS13" i="2"/>
  <c r="AQ11" i="2"/>
  <c r="CM6" i="2"/>
  <c r="CM8" i="2"/>
  <c r="HU7" i="2"/>
  <c r="HY7" i="2"/>
  <c r="HY6" i="2"/>
  <c r="HW8" i="2"/>
  <c r="HV8" i="2"/>
  <c r="HW7" i="2"/>
  <c r="HV7" i="2"/>
  <c r="HV6" i="2"/>
  <c r="HX8" i="2"/>
  <c r="HY8" i="2"/>
  <c r="HU6" i="2"/>
  <c r="HX6" i="2"/>
  <c r="FQ14" i="2"/>
  <c r="FW14" i="2"/>
  <c r="FQ15" i="2"/>
  <c r="FW15" i="2"/>
  <c r="FX28" i="2"/>
  <c r="FX27" i="2"/>
  <c r="FW13" i="2"/>
  <c r="FX29" i="2"/>
  <c r="FU7" i="2"/>
  <c r="GU19" i="2"/>
  <c r="GV20" i="2" s="1"/>
  <c r="GU20" i="2"/>
  <c r="AT21" i="2"/>
  <c r="AR21" i="2"/>
  <c r="HZ13" i="2"/>
  <c r="IA15" i="2" s="1"/>
  <c r="HZ14" i="2"/>
  <c r="IQ29" i="2"/>
  <c r="IQ28" i="2"/>
  <c r="HX27" i="2"/>
  <c r="HV28" i="2"/>
  <c r="HY27" i="2"/>
  <c r="HV27" i="2"/>
  <c r="HY28" i="2"/>
  <c r="HU29" i="2"/>
  <c r="HU28" i="2"/>
  <c r="HU27" i="2"/>
  <c r="HY29" i="2"/>
  <c r="HV29" i="2"/>
  <c r="HW29" i="2"/>
  <c r="HX29" i="2"/>
  <c r="HW28" i="2"/>
  <c r="HX28" i="2"/>
  <c r="HW27" i="2"/>
  <c r="FQ20" i="2"/>
  <c r="HU21" i="2"/>
  <c r="HY21" i="2"/>
  <c r="HT21" i="2"/>
  <c r="HX21" i="2"/>
  <c r="HX20" i="2"/>
  <c r="HV22" i="2"/>
  <c r="HT20" i="2"/>
  <c r="FV4" i="2"/>
  <c r="HU22" i="2"/>
  <c r="HW20" i="2"/>
  <c r="HY22" i="2"/>
  <c r="HW22" i="2"/>
  <c r="HW21" i="2"/>
  <c r="HV21" i="2"/>
  <c r="HU20" i="2"/>
  <c r="HX22" i="2"/>
  <c r="HV20" i="2"/>
  <c r="HY20" i="2"/>
  <c r="GV5" i="2"/>
  <c r="HB13" i="2"/>
  <c r="HB12" i="2"/>
  <c r="GV6" i="2"/>
  <c r="FX25" i="2"/>
  <c r="GV7" i="2"/>
  <c r="FV6" i="2"/>
  <c r="FS8" i="2"/>
  <c r="FQ7" i="2"/>
  <c r="FV8" i="2"/>
  <c r="FP8" i="2"/>
  <c r="FI5" i="2"/>
  <c r="FU5" i="2"/>
  <c r="FM8" i="2"/>
  <c r="FU4" i="2"/>
  <c r="FJ5" i="2"/>
  <c r="GO28" i="2"/>
  <c r="FK7" i="2"/>
  <c r="FI7" i="2"/>
  <c r="FU6" i="2"/>
  <c r="FV5" i="2"/>
  <c r="FV7" i="2"/>
  <c r="FL8" i="2"/>
  <c r="FI8" i="2"/>
  <c r="FR8" i="2"/>
  <c r="FO8" i="2"/>
  <c r="FJ6" i="2"/>
  <c r="FK4" i="2"/>
  <c r="FI4" i="2"/>
  <c r="FJ7" i="2"/>
  <c r="FT8" i="2"/>
  <c r="FU8" i="2"/>
  <c r="FI6" i="2"/>
  <c r="FJ4" i="2"/>
  <c r="HA8" i="2"/>
  <c r="FJ8" i="2"/>
  <c r="FK8" i="2"/>
  <c r="FK6" i="2"/>
  <c r="GU28" i="2"/>
  <c r="FN14" i="2"/>
  <c r="GA29" i="2"/>
  <c r="AS27" i="2"/>
  <c r="BT22" i="2"/>
  <c r="AV21" i="2"/>
  <c r="AS22" i="2"/>
  <c r="AS20" i="2"/>
  <c r="AT13" i="2"/>
  <c r="GU26" i="2"/>
  <c r="FW11" i="2"/>
  <c r="FW12" i="2"/>
  <c r="GL28" i="2"/>
  <c r="GY8" i="2"/>
  <c r="GL29" i="2"/>
  <c r="FN20" i="2"/>
  <c r="FN7" i="2"/>
  <c r="FN15" i="2"/>
  <c r="GA28" i="2"/>
  <c r="GU27" i="2"/>
  <c r="FV21" i="2"/>
  <c r="FR21" i="2"/>
  <c r="FJ21" i="2"/>
  <c r="FU21" i="2"/>
  <c r="FM21" i="2"/>
  <c r="FI21" i="2"/>
  <c r="FT21" i="2"/>
  <c r="FP21" i="2"/>
  <c r="FL21" i="2"/>
  <c r="FS21" i="2"/>
  <c r="FO21" i="2"/>
  <c r="FK21" i="2"/>
  <c r="FV18" i="2"/>
  <c r="FU19" i="2"/>
  <c r="FU20" i="2"/>
  <c r="FJ20" i="2"/>
  <c r="FK20" i="2"/>
  <c r="FZ25" i="2"/>
  <c r="GC25" i="2"/>
  <c r="FY29" i="2"/>
  <c r="FY28" i="2"/>
  <c r="GC27" i="2"/>
  <c r="FY26" i="2"/>
  <c r="GB29" i="2"/>
  <c r="FI18" i="2"/>
  <c r="FI20" i="2"/>
  <c r="GB26" i="2"/>
  <c r="FZ26" i="2"/>
  <c r="GC29" i="2"/>
  <c r="GC28" i="2"/>
  <c r="FZ28" i="2"/>
  <c r="GC26" i="2"/>
  <c r="FI19" i="2"/>
  <c r="FJ18" i="2"/>
  <c r="FS22" i="2"/>
  <c r="FO22" i="2"/>
  <c r="FK22" i="2"/>
  <c r="FV22" i="2"/>
  <c r="FR22" i="2"/>
  <c r="FJ22" i="2"/>
  <c r="FU22" i="2"/>
  <c r="FM22" i="2"/>
  <c r="FI22" i="2"/>
  <c r="FT22" i="2"/>
  <c r="FP22" i="2"/>
  <c r="FL22" i="2"/>
  <c r="FK18" i="2"/>
  <c r="FK19" i="2"/>
  <c r="GX7" i="2"/>
  <c r="GW6" i="2"/>
  <c r="GZ5" i="2"/>
  <c r="GX8" i="2"/>
  <c r="GW7" i="2"/>
  <c r="GY5" i="2"/>
  <c r="GW8" i="2"/>
  <c r="GX5" i="2"/>
  <c r="GX6" i="2"/>
  <c r="HA5" i="2"/>
  <c r="GW5" i="2"/>
  <c r="HA7" i="2"/>
  <c r="GZ7" i="2"/>
  <c r="GY7" i="2"/>
  <c r="GZ8" i="2"/>
  <c r="FV20" i="2"/>
  <c r="GA25" i="2"/>
  <c r="GA27" i="2"/>
  <c r="GA26" i="2"/>
  <c r="FZ29" i="2"/>
  <c r="FZ27" i="2"/>
  <c r="FJ19" i="2"/>
  <c r="HA6" i="2"/>
  <c r="GZ6" i="2"/>
  <c r="GY6" i="2"/>
  <c r="FY25" i="2"/>
  <c r="GB28" i="2"/>
  <c r="GB27" i="2"/>
  <c r="FY27" i="2"/>
  <c r="GB25" i="2"/>
  <c r="GV19" i="2"/>
  <c r="FV19" i="2"/>
  <c r="FU18" i="2"/>
  <c r="CP13" i="2"/>
  <c r="CO13" i="2"/>
  <c r="CR13" i="2"/>
  <c r="CN13" i="2"/>
  <c r="CQ13" i="2"/>
  <c r="CQ15" i="2"/>
  <c r="BR27" i="2"/>
  <c r="BQ27" i="2"/>
  <c r="BT27" i="2"/>
  <c r="BP27" i="2"/>
  <c r="BS27" i="2"/>
  <c r="BO27" i="2"/>
  <c r="AR13" i="2"/>
  <c r="CN15" i="2"/>
  <c r="AV20" i="2"/>
  <c r="AU20" i="2"/>
  <c r="AR22" i="2"/>
  <c r="BQ26" i="2"/>
  <c r="BQ29" i="2"/>
  <c r="BT26" i="2"/>
  <c r="BP26" i="2"/>
  <c r="BS26" i="2"/>
  <c r="BO26" i="2"/>
  <c r="BR26" i="2"/>
  <c r="BS20" i="2"/>
  <c r="BR20" i="2"/>
  <c r="BQ20" i="2"/>
  <c r="BT20" i="2"/>
  <c r="BP20" i="2"/>
  <c r="AS29" i="2"/>
  <c r="AV29" i="2"/>
  <c r="AR29" i="2"/>
  <c r="AV28" i="2"/>
  <c r="AU28" i="2"/>
  <c r="AR28" i="2"/>
  <c r="AT28" i="2"/>
  <c r="AS28" i="2"/>
  <c r="AS21" i="2"/>
  <c r="BR22" i="2"/>
  <c r="AU29" i="2"/>
  <c r="AU25" i="2"/>
  <c r="AT29" i="2"/>
  <c r="AT25" i="2"/>
  <c r="AS25" i="2"/>
  <c r="AV25" i="2"/>
  <c r="AR25" i="2"/>
  <c r="CW29" i="2"/>
  <c r="CV28" i="2"/>
  <c r="CV29" i="2"/>
  <c r="DI28" i="2"/>
  <c r="DI29" i="2"/>
  <c r="DH28" i="2"/>
  <c r="CX28" i="2"/>
  <c r="DH29" i="2"/>
  <c r="CX29" i="2"/>
  <c r="CW28" i="2"/>
  <c r="BR19" i="2"/>
  <c r="BQ19" i="2"/>
  <c r="BT19" i="2"/>
  <c r="BP19" i="2"/>
  <c r="BS19" i="2"/>
  <c r="BT29" i="2"/>
  <c r="BS29" i="2"/>
  <c r="BR29" i="2"/>
  <c r="BP29" i="2"/>
  <c r="DP7" i="2"/>
  <c r="DL7" i="2"/>
  <c r="DO7" i="2"/>
  <c r="DN7" i="2"/>
  <c r="DM7" i="2"/>
  <c r="CQ6" i="2"/>
  <c r="CP6" i="2"/>
  <c r="CO6" i="2"/>
  <c r="CR6" i="2"/>
  <c r="CN6" i="2"/>
  <c r="CR8" i="2"/>
  <c r="CN8" i="2"/>
  <c r="CQ8" i="2"/>
  <c r="CO8" i="2"/>
  <c r="CP8" i="2"/>
  <c r="AV26" i="2"/>
  <c r="AR26" i="2"/>
  <c r="AU26" i="2"/>
  <c r="AT26" i="2"/>
  <c r="AS26" i="2"/>
  <c r="CQ14" i="2"/>
  <c r="CP14" i="2"/>
  <c r="CO14" i="2"/>
  <c r="CR14" i="2"/>
  <c r="CN14" i="2"/>
  <c r="BS28" i="2"/>
  <c r="BT28" i="2"/>
  <c r="BR28" i="2"/>
  <c r="BQ28" i="2"/>
  <c r="BP28" i="2"/>
  <c r="AR14" i="2"/>
  <c r="AT14" i="2"/>
  <c r="AV14" i="2"/>
  <c r="AU14" i="2"/>
  <c r="AS14" i="2"/>
  <c r="AV13" i="2"/>
  <c r="CP15" i="2"/>
  <c r="CR15" i="2"/>
  <c r="AU27" i="2"/>
  <c r="AU21" i="2"/>
  <c r="AV22" i="2"/>
  <c r="BP22" i="2"/>
  <c r="BS22" i="2"/>
  <c r="AR27" i="2"/>
  <c r="DO8" i="2"/>
  <c r="DN8" i="2"/>
  <c r="DM8" i="2"/>
  <c r="DP8" i="2"/>
  <c r="DL8" i="2"/>
  <c r="AS19" i="2"/>
  <c r="AV19" i="2"/>
  <c r="AR19" i="2"/>
  <c r="AU19" i="2"/>
  <c r="AQ19" i="2"/>
  <c r="AT19" i="2"/>
  <c r="CP7" i="2"/>
  <c r="CO7" i="2"/>
  <c r="CR7" i="2"/>
  <c r="CN7" i="2"/>
  <c r="CQ7" i="2"/>
  <c r="AV18" i="2"/>
  <c r="AR18" i="2"/>
  <c r="AU22" i="2"/>
  <c r="AU18" i="2"/>
  <c r="AQ18" i="2"/>
  <c r="AT22" i="2"/>
  <c r="AT18" i="2"/>
  <c r="AS18" i="2"/>
  <c r="AS11" i="2"/>
  <c r="AV11" i="2"/>
  <c r="AR11" i="2"/>
  <c r="AU15" i="2"/>
  <c r="AU11" i="2"/>
  <c r="AT15" i="2"/>
  <c r="AT11" i="2"/>
  <c r="AT12" i="2"/>
  <c r="AS12" i="2"/>
  <c r="AV12" i="2"/>
  <c r="AR12" i="2"/>
  <c r="AU12" i="2"/>
  <c r="AS15" i="2"/>
  <c r="AV15" i="2"/>
  <c r="AR15" i="2"/>
  <c r="BT21" i="2"/>
  <c r="BR21" i="2"/>
  <c r="BS21" i="2"/>
  <c r="BQ21" i="2"/>
  <c r="BP21" i="2"/>
  <c r="AV27" i="2"/>
  <c r="CO15" i="2"/>
  <c r="AT20" i="2"/>
  <c r="AR20" i="2"/>
  <c r="BQ22" i="2"/>
  <c r="AU13" i="2"/>
  <c r="AG8" i="2"/>
  <c r="AJ8" i="2"/>
  <c r="BU8" i="2"/>
  <c r="DQ21" i="2"/>
  <c r="DR21" i="2" s="1"/>
  <c r="DR22" i="2" s="1"/>
  <c r="DQ22" i="2"/>
  <c r="BU7" i="2"/>
  <c r="BU6" i="2"/>
  <c r="BU14" i="2"/>
  <c r="BU5" i="2"/>
  <c r="CL27" i="2"/>
  <c r="CF27" i="2"/>
  <c r="CF28" i="2"/>
  <c r="BU13" i="2"/>
  <c r="CL28" i="2"/>
  <c r="CM28" i="2" s="1"/>
  <c r="AQ8" i="2" l="1"/>
  <c r="AQ6" i="2"/>
  <c r="HZ6" i="2"/>
  <c r="IR28" i="2"/>
  <c r="HZ7" i="2"/>
  <c r="HZ22" i="2"/>
  <c r="IA13" i="2"/>
  <c r="IA8" i="2"/>
  <c r="IA14" i="2"/>
  <c r="HB15" i="2"/>
  <c r="HZ29" i="2"/>
  <c r="GV29" i="2"/>
  <c r="GV22" i="2"/>
  <c r="GV21" i="2"/>
  <c r="GX22" i="2"/>
  <c r="AR5" i="2"/>
  <c r="HA20" i="2"/>
  <c r="AQ5" i="2"/>
  <c r="AQ4" i="2"/>
  <c r="CM29" i="2"/>
  <c r="HA19" i="2"/>
  <c r="HZ8" i="2"/>
  <c r="HB8" i="2"/>
  <c r="DQ7" i="2"/>
  <c r="GW22" i="2"/>
  <c r="HZ28" i="2"/>
  <c r="HZ27" i="2"/>
  <c r="IR29" i="2"/>
  <c r="HC14" i="2"/>
  <c r="HC15" i="2"/>
  <c r="GZ19" i="2"/>
  <c r="GW19" i="2"/>
  <c r="GW20" i="2"/>
  <c r="GY21" i="2"/>
  <c r="GY20" i="2"/>
  <c r="HA22" i="2"/>
  <c r="GZ22" i="2"/>
  <c r="GX20" i="2"/>
  <c r="GY22" i="2"/>
  <c r="HA21" i="2"/>
  <c r="GZ20" i="2"/>
  <c r="GW21" i="2"/>
  <c r="GY19" i="2"/>
  <c r="GX21" i="2"/>
  <c r="GX19" i="2"/>
  <c r="AV7" i="2"/>
  <c r="CM27" i="2"/>
  <c r="FQ21" i="2"/>
  <c r="FW21" i="2"/>
  <c r="FW22" i="2"/>
  <c r="FQ22" i="2"/>
  <c r="GD28" i="2"/>
  <c r="FX14" i="2"/>
  <c r="GD27" i="2"/>
  <c r="FX15" i="2"/>
  <c r="GD29" i="2"/>
  <c r="FX12" i="2"/>
  <c r="GD26" i="2"/>
  <c r="IA6" i="2"/>
  <c r="IA7" i="2"/>
  <c r="IV28" i="2"/>
  <c r="IT28" i="2"/>
  <c r="IU28" i="2"/>
  <c r="IW28" i="2"/>
  <c r="IS28" i="2"/>
  <c r="IT29" i="2"/>
  <c r="IU29" i="2"/>
  <c r="IS29" i="2"/>
  <c r="IW29" i="2"/>
  <c r="IV29" i="2"/>
  <c r="FW20" i="2"/>
  <c r="HZ20" i="2"/>
  <c r="IA22" i="2" s="1"/>
  <c r="HZ21" i="2"/>
  <c r="HB5" i="2"/>
  <c r="HC13" i="2"/>
  <c r="HC12" i="2"/>
  <c r="FX11" i="2"/>
  <c r="HB7" i="2"/>
  <c r="GD25" i="2"/>
  <c r="HB6" i="2"/>
  <c r="FX13" i="2"/>
  <c r="FQ8" i="2"/>
  <c r="FW8" i="2"/>
  <c r="FN8" i="2"/>
  <c r="FW6" i="2"/>
  <c r="FW5" i="2"/>
  <c r="FW4" i="2"/>
  <c r="FW7" i="2"/>
  <c r="FN22" i="2"/>
  <c r="GV28" i="2"/>
  <c r="GA15" i="2"/>
  <c r="AS5" i="2"/>
  <c r="FZ15" i="2"/>
  <c r="GA13" i="2"/>
  <c r="FY12" i="2"/>
  <c r="GA12" i="2"/>
  <c r="GY29" i="2"/>
  <c r="GB13" i="2"/>
  <c r="GB12" i="2"/>
  <c r="FY11" i="2"/>
  <c r="GC12" i="2"/>
  <c r="FZ12" i="2"/>
  <c r="GC13" i="2"/>
  <c r="GA14" i="2"/>
  <c r="FY15" i="2"/>
  <c r="FY14" i="2"/>
  <c r="FZ11" i="2"/>
  <c r="GB11" i="2"/>
  <c r="FZ14" i="2"/>
  <c r="GB15" i="2"/>
  <c r="GC15" i="2"/>
  <c r="GC14" i="2"/>
  <c r="FN21" i="2"/>
  <c r="GC11" i="2"/>
  <c r="GA11" i="2"/>
  <c r="FY13" i="2"/>
  <c r="FZ13" i="2"/>
  <c r="GB14" i="2"/>
  <c r="HB20" i="2"/>
  <c r="GV27" i="2"/>
  <c r="HA26" i="2"/>
  <c r="GY28" i="2"/>
  <c r="GX28" i="2"/>
  <c r="HA27" i="2"/>
  <c r="HA28" i="2"/>
  <c r="GY26" i="2"/>
  <c r="GZ27" i="2"/>
  <c r="GW27" i="2"/>
  <c r="GV26" i="2"/>
  <c r="GX26" i="2"/>
  <c r="GW26" i="2"/>
  <c r="GY27" i="2"/>
  <c r="GZ26" i="2"/>
  <c r="GX27" i="2"/>
  <c r="GW28" i="2"/>
  <c r="GZ28" i="2"/>
  <c r="FW19" i="2"/>
  <c r="GX29" i="2"/>
  <c r="GZ29" i="2"/>
  <c r="GW29" i="2"/>
  <c r="HA29" i="2"/>
  <c r="FW18" i="2"/>
  <c r="HB19" i="2"/>
  <c r="CO28" i="2"/>
  <c r="CR28" i="2"/>
  <c r="CN28" i="2"/>
  <c r="CQ28" i="2"/>
  <c r="CP28" i="2"/>
  <c r="CR27" i="2"/>
  <c r="CN27" i="2"/>
  <c r="CQ27" i="2"/>
  <c r="CP27" i="2"/>
  <c r="CO27" i="2"/>
  <c r="CQ29" i="2"/>
  <c r="CP29" i="2"/>
  <c r="CR29" i="2"/>
  <c r="CO29" i="2"/>
  <c r="CN29" i="2"/>
  <c r="AV6" i="2"/>
  <c r="AS7" i="2"/>
  <c r="AT5" i="2"/>
  <c r="AR4" i="2"/>
  <c r="AS4" i="2"/>
  <c r="AU7" i="2"/>
  <c r="AV5" i="2"/>
  <c r="AS8" i="2"/>
  <c r="AT8" i="2"/>
  <c r="AS6" i="2"/>
  <c r="AV4" i="2"/>
  <c r="AT4" i="2"/>
  <c r="AR8" i="2"/>
  <c r="AU6" i="2"/>
  <c r="AU4" i="2"/>
  <c r="AU8" i="2"/>
  <c r="AT6" i="2"/>
  <c r="AT7" i="2"/>
  <c r="AR6" i="2"/>
  <c r="AU5" i="2"/>
  <c r="AV8" i="2"/>
  <c r="AR7" i="2"/>
  <c r="AW28" i="2"/>
  <c r="CS15" i="2"/>
  <c r="BU28" i="2"/>
  <c r="AW14" i="2"/>
  <c r="AW21" i="2"/>
  <c r="CS8" i="2"/>
  <c r="AW27" i="2"/>
  <c r="AW15" i="2"/>
  <c r="AW20" i="2"/>
  <c r="AW13" i="2"/>
  <c r="AW29" i="2"/>
  <c r="AW22" i="2"/>
  <c r="CS20" i="2"/>
  <c r="CT22" i="2" s="1"/>
  <c r="CS21" i="2"/>
  <c r="DQ8" i="2"/>
  <c r="BU12" i="2"/>
  <c r="BV12" i="2" s="1"/>
  <c r="DD29" i="2"/>
  <c r="DJ29" i="2"/>
  <c r="DJ28" i="2"/>
  <c r="DD28" i="2"/>
  <c r="BV8" i="2"/>
  <c r="BV14" i="2"/>
  <c r="DR7" i="2"/>
  <c r="DR8" i="2" s="1"/>
  <c r="BV29" i="2"/>
  <c r="BV6" i="2"/>
  <c r="BV5" i="2"/>
  <c r="BV7" i="2"/>
  <c r="HB29" i="2" l="1"/>
  <c r="HB22" i="2"/>
  <c r="HB21" i="2"/>
  <c r="CS29" i="2"/>
  <c r="HC8" i="2"/>
  <c r="DK29" i="2"/>
  <c r="DK28" i="2"/>
  <c r="AW8" i="2"/>
  <c r="IA29" i="2"/>
  <c r="IA27" i="2"/>
  <c r="IA28" i="2"/>
  <c r="IX28" i="2"/>
  <c r="IY28" i="2" s="1"/>
  <c r="IY29" i="2" s="1"/>
  <c r="IX29" i="2"/>
  <c r="HC21" i="2"/>
  <c r="HC22" i="2"/>
  <c r="AW6" i="2"/>
  <c r="AW7" i="2"/>
  <c r="FX22" i="2"/>
  <c r="FX5" i="2"/>
  <c r="GD14" i="2"/>
  <c r="GE27" i="2"/>
  <c r="GE29" i="2"/>
  <c r="GE28" i="2"/>
  <c r="FX6" i="2"/>
  <c r="FX7" i="2"/>
  <c r="FX8" i="2"/>
  <c r="FX4" i="2"/>
  <c r="FX21" i="2"/>
  <c r="GD15" i="2"/>
  <c r="IA20" i="2"/>
  <c r="GD12" i="2"/>
  <c r="HC6" i="2"/>
  <c r="FX20" i="2"/>
  <c r="FX18" i="2"/>
  <c r="IA21" i="2"/>
  <c r="HC5" i="2"/>
  <c r="FX19" i="2"/>
  <c r="GD11" i="2"/>
  <c r="HC7" i="2"/>
  <c r="GE25" i="2"/>
  <c r="GE26" i="2"/>
  <c r="GD13" i="2"/>
  <c r="GB5" i="2"/>
  <c r="FZ4" i="2"/>
  <c r="GA4" i="2"/>
  <c r="FY6" i="2"/>
  <c r="FZ8" i="2"/>
  <c r="GB8" i="2"/>
  <c r="GA8" i="2"/>
  <c r="GA5" i="2"/>
  <c r="FY5" i="2"/>
  <c r="GC4" i="2"/>
  <c r="GB7" i="2"/>
  <c r="GC8" i="2"/>
  <c r="GC6" i="2"/>
  <c r="GB6" i="2"/>
  <c r="GA6" i="2"/>
  <c r="FY7" i="2"/>
  <c r="FZ5" i="2"/>
  <c r="FZ6" i="2"/>
  <c r="FY8" i="2"/>
  <c r="GA7" i="2"/>
  <c r="GC7" i="2"/>
  <c r="FY4" i="2"/>
  <c r="GB4" i="2"/>
  <c r="FZ7" i="2"/>
  <c r="GC5" i="2"/>
  <c r="HB28" i="2"/>
  <c r="HB27" i="2"/>
  <c r="HB26" i="2"/>
  <c r="HC19" i="2"/>
  <c r="HC20" i="2"/>
  <c r="GA22" i="2"/>
  <c r="FZ21" i="2"/>
  <c r="FZ22" i="2"/>
  <c r="GC21" i="2"/>
  <c r="FY21" i="2"/>
  <c r="GB20" i="2"/>
  <c r="GA19" i="2"/>
  <c r="FZ18" i="2"/>
  <c r="GC22" i="2"/>
  <c r="FY22" i="2"/>
  <c r="GB21" i="2"/>
  <c r="GA20" i="2"/>
  <c r="GB22" i="2"/>
  <c r="GA21" i="2"/>
  <c r="FZ20" i="2"/>
  <c r="GC19" i="2"/>
  <c r="FY19" i="2"/>
  <c r="GB19" i="2"/>
  <c r="GB18" i="2"/>
  <c r="GC20" i="2"/>
  <c r="FZ19" i="2"/>
  <c r="GA18" i="2"/>
  <c r="FY20" i="2"/>
  <c r="FY18" i="2"/>
  <c r="GC18" i="2"/>
  <c r="DO28" i="2"/>
  <c r="DN28" i="2"/>
  <c r="DM28" i="2"/>
  <c r="DP28" i="2"/>
  <c r="DL28" i="2"/>
  <c r="DP29" i="2"/>
  <c r="DL29" i="2"/>
  <c r="DO29" i="2"/>
  <c r="DN29" i="2"/>
  <c r="DM29" i="2"/>
  <c r="BV13" i="2"/>
  <c r="CT20" i="2"/>
  <c r="CT21" i="2"/>
  <c r="BU21" i="2"/>
  <c r="CS7" i="2"/>
  <c r="CS6" i="2"/>
  <c r="CS14" i="2"/>
  <c r="CS13" i="2"/>
  <c r="BU19" i="2"/>
  <c r="BU20" i="2"/>
  <c r="BV19" i="2" s="1"/>
  <c r="BU27" i="2"/>
  <c r="BU26" i="2"/>
  <c r="BV28" i="2" s="1"/>
  <c r="CS27" i="2"/>
  <c r="CS28" i="2"/>
  <c r="AW19" i="2"/>
  <c r="AW25" i="2"/>
  <c r="AW26" i="2"/>
  <c r="AW12" i="2"/>
  <c r="AW18" i="2"/>
  <c r="AW11" i="2"/>
  <c r="AW5" i="2"/>
  <c r="AW4" i="2"/>
  <c r="HC29" i="2" l="1"/>
  <c r="IZ29" i="2" s="1"/>
  <c r="BV20" i="2"/>
  <c r="BV21" i="2"/>
  <c r="AX20" i="2"/>
  <c r="AX21" i="2"/>
  <c r="AX22" i="2"/>
  <c r="DS22" i="2" s="1"/>
  <c r="AX4" i="2"/>
  <c r="DS4" i="2" s="1"/>
  <c r="AX5" i="2"/>
  <c r="AX7" i="2"/>
  <c r="AX6" i="2"/>
  <c r="AX8" i="2"/>
  <c r="AX13" i="2"/>
  <c r="AX14" i="2"/>
  <c r="AX15" i="2"/>
  <c r="AX26" i="2"/>
  <c r="AX25" i="2"/>
  <c r="DS25" i="2" s="1"/>
  <c r="AX27" i="2"/>
  <c r="AX29" i="2"/>
  <c r="AX28" i="2"/>
  <c r="CT8" i="2"/>
  <c r="AX12" i="2"/>
  <c r="AX11" i="2"/>
  <c r="DS11" i="2" s="1"/>
  <c r="GD5" i="2"/>
  <c r="GD22" i="2"/>
  <c r="GD8" i="2"/>
  <c r="GD7" i="2"/>
  <c r="GE14" i="2"/>
  <c r="IZ14" i="2" s="1"/>
  <c r="GE15" i="2"/>
  <c r="IZ15" i="2" s="1"/>
  <c r="GD21" i="2"/>
  <c r="GD6" i="2"/>
  <c r="GD4" i="2"/>
  <c r="GD20" i="2"/>
  <c r="GD18" i="2"/>
  <c r="GD19" i="2"/>
  <c r="GE11" i="2"/>
  <c r="IZ11" i="2" s="1"/>
  <c r="GE12" i="2"/>
  <c r="IZ12" i="2" s="1"/>
  <c r="GE13" i="2"/>
  <c r="IZ13" i="2" s="1"/>
  <c r="HC28" i="2"/>
  <c r="IZ28" i="2" s="1"/>
  <c r="HC27" i="2"/>
  <c r="IZ27" i="2" s="1"/>
  <c r="HC26" i="2"/>
  <c r="IZ26" i="2" s="1"/>
  <c r="AX19" i="2"/>
  <c r="DS19" i="2" s="1"/>
  <c r="AX18" i="2"/>
  <c r="DS18" i="2" s="1"/>
  <c r="IZ25" i="2"/>
  <c r="BV27" i="2"/>
  <c r="BV26" i="2"/>
  <c r="CT15" i="2"/>
  <c r="DS5" i="2"/>
  <c r="DS12" i="2"/>
  <c r="DS21" i="2"/>
  <c r="DQ28" i="2"/>
  <c r="DR28" i="2" s="1"/>
  <c r="DR29" i="2" s="1"/>
  <c r="DQ29" i="2"/>
  <c r="CT7" i="2"/>
  <c r="CT14" i="2"/>
  <c r="CT13" i="2"/>
  <c r="CT6" i="2"/>
  <c r="CT29" i="2"/>
  <c r="CT27" i="2"/>
  <c r="CT28" i="2"/>
  <c r="DS20" i="2" l="1"/>
  <c r="A18" i="2" s="1"/>
  <c r="DS8" i="2"/>
  <c r="GE22" i="2"/>
  <c r="IZ22" i="2" s="1"/>
  <c r="GE21" i="2"/>
  <c r="IZ21" i="2" s="1"/>
  <c r="GE4" i="2"/>
  <c r="IZ4" i="2" s="1"/>
  <c r="GE5" i="2"/>
  <c r="IZ5" i="2" s="1"/>
  <c r="GE6" i="2"/>
  <c r="IZ6" i="2" s="1"/>
  <c r="GE7" i="2"/>
  <c r="IZ7" i="2" s="1"/>
  <c r="GE8" i="2"/>
  <c r="IZ8" i="2" s="1"/>
  <c r="GE18" i="2"/>
  <c r="IZ18" i="2" s="1"/>
  <c r="GE20" i="2"/>
  <c r="IZ20" i="2" s="1"/>
  <c r="GE19" i="2"/>
  <c r="IZ19" i="2" s="1"/>
  <c r="A22" i="2"/>
  <c r="A21" i="2"/>
  <c r="A20" i="2"/>
  <c r="EH29" i="2"/>
  <c r="EH25" i="2"/>
  <c r="EH26" i="2"/>
  <c r="EH28" i="2"/>
  <c r="EH27" i="2"/>
  <c r="EH13" i="2"/>
  <c r="EH11" i="2"/>
  <c r="EH14" i="2"/>
  <c r="EH12" i="2"/>
  <c r="EH15" i="2"/>
  <c r="DS6" i="2"/>
  <c r="DS26" i="2"/>
  <c r="DS15" i="2"/>
  <c r="DS27" i="2"/>
  <c r="DS13" i="2"/>
  <c r="DS14" i="2"/>
  <c r="DS7" i="2"/>
  <c r="DS29" i="2"/>
  <c r="DS28" i="2"/>
  <c r="EH8" i="2" l="1"/>
  <c r="A19" i="2"/>
  <c r="A28" i="2"/>
  <c r="Z59" i="24"/>
  <c r="V59" i="24"/>
  <c r="Z61" i="24"/>
  <c r="V61" i="24"/>
  <c r="A14" i="2"/>
  <c r="A7" i="2"/>
  <c r="A4" i="2"/>
  <c r="A11" i="2"/>
  <c r="EH7" i="2"/>
  <c r="EH4" i="2"/>
  <c r="EH5" i="2"/>
  <c r="EH6" i="2"/>
  <c r="A5" i="2"/>
  <c r="A13" i="2"/>
  <c r="A26" i="2"/>
  <c r="EH20" i="2"/>
  <c r="EH18" i="2"/>
  <c r="EH19" i="2"/>
  <c r="EH22" i="2"/>
  <c r="EH21" i="2"/>
  <c r="A15" i="2"/>
  <c r="A29" i="2"/>
  <c r="A6" i="2"/>
  <c r="A12" i="2"/>
  <c r="A27" i="2"/>
  <c r="A8" i="2"/>
  <c r="A25" i="2"/>
  <c r="AD30" i="1"/>
  <c r="AD29" i="1"/>
  <c r="AD28" i="1"/>
  <c r="AJ28" i="1" s="1"/>
  <c r="AD27" i="1"/>
  <c r="K60" i="24" s="1"/>
  <c r="AD26" i="1"/>
  <c r="G60" i="24" s="1"/>
  <c r="Z58" i="24" l="1"/>
  <c r="V58" i="24"/>
  <c r="Z60" i="24"/>
  <c r="V60" i="24"/>
  <c r="AD23" i="1"/>
  <c r="AI23" i="1" s="1"/>
  <c r="AD19" i="1"/>
  <c r="G59" i="24" s="1"/>
  <c r="AD22" i="1"/>
  <c r="AD20" i="1"/>
  <c r="K59" i="24" s="1"/>
  <c r="AD21" i="1"/>
  <c r="AD16" i="1"/>
  <c r="AD14" i="1"/>
  <c r="AD12" i="1"/>
  <c r="G58" i="24" s="1"/>
  <c r="AD13" i="1"/>
  <c r="K58" i="24" s="1"/>
  <c r="AD15" i="1"/>
  <c r="AP15" i="1" s="1"/>
  <c r="AK27" i="1"/>
  <c r="AO29" i="1"/>
  <c r="AH29" i="1"/>
  <c r="AO27" i="1"/>
  <c r="AI30" i="1"/>
  <c r="AP30" i="1"/>
  <c r="AP26" i="1"/>
  <c r="AQ29" i="1"/>
  <c r="AJ29" i="1"/>
  <c r="AN29" i="1"/>
  <c r="AP29" i="1"/>
  <c r="AK29" i="1"/>
  <c r="AI29" i="1"/>
  <c r="AJ26" i="1"/>
  <c r="AO30" i="1"/>
  <c r="AH26" i="1"/>
  <c r="AK26" i="1"/>
  <c r="AL30" i="1"/>
  <c r="AH30" i="1"/>
  <c r="AN26" i="1"/>
  <c r="AL26" i="1"/>
  <c r="AO26" i="1"/>
  <c r="AQ30" i="1"/>
  <c r="AN30" i="1"/>
  <c r="AJ30" i="1"/>
  <c r="AQ28" i="1"/>
  <c r="AL28" i="1"/>
  <c r="AI27" i="1"/>
  <c r="AN27" i="1"/>
  <c r="AQ27" i="1"/>
  <c r="AJ27" i="1"/>
  <c r="AP27" i="1"/>
  <c r="AL29" i="1"/>
  <c r="AP28" i="1"/>
  <c r="AQ26" i="1"/>
  <c r="AI28" i="1"/>
  <c r="AI26" i="1"/>
  <c r="AH28" i="1"/>
  <c r="AK30" i="1"/>
  <c r="AO28" i="1"/>
  <c r="AL27" i="1"/>
  <c r="AN28" i="1"/>
  <c r="AH27" i="1"/>
  <c r="AK28" i="1"/>
  <c r="AD34" i="1"/>
  <c r="K61" i="24" s="1"/>
  <c r="AD35" i="1"/>
  <c r="AD36" i="1"/>
  <c r="AL36" i="1" s="1"/>
  <c r="AD33" i="1"/>
  <c r="G61" i="24" s="1"/>
  <c r="AD37" i="1"/>
  <c r="AO37" i="1" s="1"/>
  <c r="AN33" i="1" l="1"/>
  <c r="AO19" i="1"/>
  <c r="AQ20" i="1"/>
  <c r="AK34" i="1"/>
  <c r="AP19" i="1"/>
  <c r="AH19" i="1"/>
  <c r="AQ19" i="1"/>
  <c r="AI19" i="1"/>
  <c r="AN19" i="1"/>
  <c r="AL19" i="1"/>
  <c r="AJ19" i="1"/>
  <c r="AK19" i="1"/>
  <c r="AN21" i="1"/>
  <c r="AJ20" i="1"/>
  <c r="AL16" i="1"/>
  <c r="AQ16" i="1"/>
  <c r="AJ16" i="1"/>
  <c r="AI14" i="1"/>
  <c r="AN13" i="1"/>
  <c r="AP16" i="1"/>
  <c r="AI16" i="1"/>
  <c r="AN16" i="1"/>
  <c r="AH20" i="1"/>
  <c r="AK20" i="1"/>
  <c r="AP14" i="1"/>
  <c r="AG29" i="1"/>
  <c r="AG28" i="1"/>
  <c r="AL23" i="1"/>
  <c r="AJ21" i="1"/>
  <c r="AP23" i="1"/>
  <c r="AO21" i="1"/>
  <c r="AO23" i="1"/>
  <c r="AP22" i="1"/>
  <c r="AH22" i="1"/>
  <c r="AI22" i="1"/>
  <c r="AH23" i="1"/>
  <c r="AK21" i="1"/>
  <c r="AO14" i="1"/>
  <c r="AQ14" i="1"/>
  <c r="AH14" i="1"/>
  <c r="AJ14" i="1"/>
  <c r="AK23" i="1"/>
  <c r="AI21" i="1"/>
  <c r="AH21" i="1"/>
  <c r="AN23" i="1"/>
  <c r="AJ22" i="1"/>
  <c r="AN22" i="1"/>
  <c r="AO22" i="1"/>
  <c r="AK22" i="1"/>
  <c r="AQ21" i="1"/>
  <c r="AJ23" i="1"/>
  <c r="AL21" i="1"/>
  <c r="AP21" i="1"/>
  <c r="AQ23" i="1"/>
  <c r="AQ22" i="1"/>
  <c r="AL22" i="1"/>
  <c r="AH16" i="1"/>
  <c r="AG16" i="1" s="1"/>
  <c r="AO20" i="1"/>
  <c r="AI20" i="1"/>
  <c r="AN20" i="1"/>
  <c r="AL20" i="1"/>
  <c r="AP20" i="1"/>
  <c r="AO16" i="1"/>
  <c r="AK16" i="1"/>
  <c r="AL13" i="1"/>
  <c r="AL14" i="1"/>
  <c r="AN14" i="1"/>
  <c r="AK13" i="1"/>
  <c r="AK14" i="1"/>
  <c r="AN15" i="1"/>
  <c r="AL12" i="1"/>
  <c r="AM27" i="1"/>
  <c r="AQ15" i="1"/>
  <c r="AN12" i="1"/>
  <c r="AO12" i="1"/>
  <c r="AI12" i="1"/>
  <c r="AK12" i="1"/>
  <c r="AQ12" i="1"/>
  <c r="AJ12" i="1"/>
  <c r="AH12" i="1"/>
  <c r="AP12" i="1"/>
  <c r="AQ13" i="1"/>
  <c r="AP13" i="1"/>
  <c r="AO15" i="1"/>
  <c r="AJ15" i="1"/>
  <c r="AI15" i="1"/>
  <c r="AH15" i="1"/>
  <c r="AK15" i="1"/>
  <c r="AL15" i="1"/>
  <c r="AI13" i="1"/>
  <c r="AJ13" i="1"/>
  <c r="AH13" i="1"/>
  <c r="AO13" i="1"/>
  <c r="AM28" i="1"/>
  <c r="AM29" i="1"/>
  <c r="AM30" i="1"/>
  <c r="AG30" i="1"/>
  <c r="AJ34" i="1"/>
  <c r="AI34" i="1"/>
  <c r="AG26" i="1"/>
  <c r="AL35" i="1"/>
  <c r="AM26" i="1"/>
  <c r="AN34" i="1"/>
  <c r="AP34" i="1"/>
  <c r="AG27" i="1"/>
  <c r="AH34" i="1"/>
  <c r="AP35" i="1"/>
  <c r="AI35" i="1"/>
  <c r="AN35" i="1"/>
  <c r="AJ35" i="1"/>
  <c r="AK35" i="1"/>
  <c r="AH35" i="1"/>
  <c r="AO35" i="1"/>
  <c r="AL34" i="1"/>
  <c r="AQ35" i="1"/>
  <c r="AO34" i="1"/>
  <c r="AQ34" i="1"/>
  <c r="AI33" i="1"/>
  <c r="AH33" i="1"/>
  <c r="AN36" i="1"/>
  <c r="AL33" i="1"/>
  <c r="AQ33" i="1"/>
  <c r="AO36" i="1"/>
  <c r="AP33" i="1"/>
  <c r="AH36" i="1"/>
  <c r="AO33" i="1"/>
  <c r="AJ33" i="1"/>
  <c r="AJ37" i="1"/>
  <c r="AK33" i="1"/>
  <c r="AK37" i="1"/>
  <c r="AI36" i="1"/>
  <c r="AQ36" i="1"/>
  <c r="AK36" i="1"/>
  <c r="AM36" i="1" s="1"/>
  <c r="AP36" i="1"/>
  <c r="AJ36" i="1"/>
  <c r="AH37" i="1"/>
  <c r="AI37" i="1"/>
  <c r="AL37" i="1"/>
  <c r="AN37" i="1"/>
  <c r="AP37" i="1"/>
  <c r="AQ37" i="1"/>
  <c r="AM16" i="1" l="1"/>
  <c r="AM34" i="1"/>
  <c r="AM19" i="1"/>
  <c r="AG19" i="1"/>
  <c r="AM23" i="1"/>
  <c r="AM20" i="1"/>
  <c r="AG20" i="1"/>
  <c r="AM35" i="1"/>
  <c r="AG23" i="1"/>
  <c r="AG14" i="1"/>
  <c r="AM22" i="1"/>
  <c r="AG34" i="1"/>
  <c r="AM21" i="1"/>
  <c r="AG22" i="1"/>
  <c r="AG21" i="1"/>
  <c r="AM12" i="1"/>
  <c r="AG13" i="1"/>
  <c r="AM14" i="1"/>
  <c r="AM13" i="1"/>
  <c r="AG15" i="1"/>
  <c r="AG12" i="1"/>
  <c r="AM15" i="1"/>
  <c r="H64" i="1"/>
  <c r="H71" i="1"/>
  <c r="K66" i="24" s="1"/>
  <c r="Z66" i="24" s="1"/>
  <c r="AG35" i="1"/>
  <c r="AG33" i="1"/>
  <c r="AM33" i="1"/>
  <c r="AG36" i="1"/>
  <c r="AG37" i="1"/>
  <c r="AM37" i="1"/>
  <c r="G65" i="24" l="1"/>
  <c r="V65" i="24" s="1"/>
  <c r="H76" i="1"/>
  <c r="H58" i="1"/>
  <c r="H77" i="1"/>
  <c r="H59" i="1"/>
  <c r="K64" i="24" s="1"/>
  <c r="Z64" i="24" s="1"/>
  <c r="H65" i="1"/>
  <c r="N62" i="1" s="1"/>
  <c r="H70" i="1"/>
  <c r="K68" i="24" l="1"/>
  <c r="Z68" i="24" s="1"/>
  <c r="G67" i="24"/>
  <c r="V67" i="24" s="1"/>
  <c r="K67" i="24"/>
  <c r="Z67" i="24" s="1"/>
  <c r="N74" i="1"/>
  <c r="M74" i="1" s="1"/>
  <c r="N73" i="1"/>
  <c r="M73" i="1" s="1"/>
  <c r="G64" i="24"/>
  <c r="V64" i="24" s="1"/>
  <c r="G66" i="24"/>
  <c r="V66" i="24" s="1"/>
  <c r="M62" i="1"/>
  <c r="K65" i="24"/>
  <c r="Z65" i="24" s="1"/>
  <c r="N61" i="1"/>
  <c r="S75" i="1" s="1"/>
  <c r="S67" i="1" l="1"/>
  <c r="G69" i="24"/>
  <c r="V69" i="24" s="1"/>
  <c r="S68" i="1"/>
  <c r="G70" i="24"/>
  <c r="V70" i="24" s="1"/>
  <c r="K69" i="24"/>
  <c r="Z69" i="24" s="1"/>
  <c r="S76" i="1"/>
  <c r="K70" i="24" s="1"/>
  <c r="Z70" i="24" s="1"/>
  <c r="G68" i="24"/>
  <c r="V68" i="24" s="1"/>
  <c r="M61" i="1"/>
  <c r="R75" i="1" l="1"/>
  <c r="G71" i="24"/>
  <c r="V71" i="24" s="1"/>
  <c r="R67" i="1"/>
  <c r="AD67" i="24"/>
  <c r="AD66" i="24"/>
  <c r="K71" i="24"/>
  <c r="Z71" i="24" s="1"/>
  <c r="R68" i="1"/>
  <c r="R76" i="1"/>
  <c r="AD65" i="24"/>
  <c r="AD64" i="24"/>
  <c r="AD69" i="24" l="1"/>
  <c r="AD72" i="24" l="1"/>
  <c r="AD68" i="24"/>
  <c r="AD71" i="24" l="1"/>
  <c r="AD70" i="24"/>
  <c r="AD63" i="24" l="1"/>
</calcChain>
</file>

<file path=xl/comments1.xml><?xml version="1.0" encoding="utf-8"?>
<comments xmlns="http://schemas.openxmlformats.org/spreadsheetml/2006/main">
  <authors>
    <author>Agam PC</author>
  </authors>
  <commentList>
    <comment ref="AC11" authorId="0" shapeId="0">
      <text>
        <r>
          <rPr>
            <b/>
            <sz val="9"/>
            <color indexed="81"/>
            <rFont val="Tahoma"/>
            <family val="2"/>
          </rPr>
          <t>Re-type country name in 8 tables below if you found an error or standing has to be decided by FIFA drawing</t>
        </r>
      </text>
    </comment>
  </commentList>
</comments>
</file>

<file path=xl/sharedStrings.xml><?xml version="1.0" encoding="utf-8"?>
<sst xmlns="http://schemas.openxmlformats.org/spreadsheetml/2006/main" count="450" uniqueCount="95">
  <si>
    <t>P</t>
  </si>
  <si>
    <t>r musadya</t>
  </si>
  <si>
    <t>Uruguay</t>
  </si>
  <si>
    <t>Argentina</t>
  </si>
  <si>
    <t>England</t>
  </si>
  <si>
    <t>USA</t>
  </si>
  <si>
    <t>Australia</t>
  </si>
  <si>
    <t>Japan</t>
  </si>
  <si>
    <t>Group</t>
  </si>
  <si>
    <t>B</t>
  </si>
  <si>
    <t>C</t>
  </si>
  <si>
    <t>Standings</t>
  </si>
  <si>
    <t>Score</t>
  </si>
  <si>
    <t>Final</t>
  </si>
  <si>
    <t>Visit exceltemplate.net for more templates and updates</t>
  </si>
  <si>
    <t>Date</t>
  </si>
  <si>
    <t>Time</t>
  </si>
  <si>
    <t>Italy</t>
  </si>
  <si>
    <t>France</t>
  </si>
  <si>
    <t>W</t>
  </si>
  <si>
    <t>D</t>
  </si>
  <si>
    <t>L</t>
  </si>
  <si>
    <t>A</t>
  </si>
  <si>
    <t>Country</t>
  </si>
  <si>
    <t>:</t>
  </si>
  <si>
    <t>-</t>
  </si>
  <si>
    <t>Venue</t>
  </si>
  <si>
    <t>Select text you want to highlight, delete to remove highlight</t>
  </si>
  <si>
    <t>Tries</t>
  </si>
  <si>
    <t>Fiji</t>
  </si>
  <si>
    <t>#</t>
  </si>
  <si>
    <t>Team 1</t>
  </si>
  <si>
    <t>Team 2</t>
  </si>
  <si>
    <t>Twickenham, London</t>
  </si>
  <si>
    <t>Tonga</t>
  </si>
  <si>
    <t>Georgia</t>
  </si>
  <si>
    <t>Kingsholm, Gloucester</t>
  </si>
  <si>
    <t>Ireland</t>
  </si>
  <si>
    <t>Canada</t>
  </si>
  <si>
    <t>Millennium, Cardiff</t>
  </si>
  <si>
    <t>South Africa</t>
  </si>
  <si>
    <t>Brighton Community, Brighton</t>
  </si>
  <si>
    <t>Samoa</t>
  </si>
  <si>
    <t>Wales</t>
  </si>
  <si>
    <t>New Zealand</t>
  </si>
  <si>
    <t>Wembley, London</t>
  </si>
  <si>
    <t>Scotland</t>
  </si>
  <si>
    <t>Romania</t>
  </si>
  <si>
    <t>Olympic Park, London</t>
  </si>
  <si>
    <t>Namibia</t>
  </si>
  <si>
    <t>Elland Road, Leeds</t>
  </si>
  <si>
    <t>Villa Park, Birmingham</t>
  </si>
  <si>
    <t>Sandy Park, Exeter</t>
  </si>
  <si>
    <t>Stadiummk, Milton Keynes</t>
  </si>
  <si>
    <t>St James Park, Newcastle</t>
  </si>
  <si>
    <t>Leicester City, Leicester</t>
  </si>
  <si>
    <t>Manchester City, Manchester</t>
  </si>
  <si>
    <t>Pts</t>
  </si>
  <si>
    <t>TA</t>
  </si>
  <si>
    <t>TF</t>
  </si>
  <si>
    <t>BP</t>
  </si>
  <si>
    <t>Pool A</t>
  </si>
  <si>
    <t>Pool B</t>
  </si>
  <si>
    <t>Pool C</t>
  </si>
  <si>
    <t>Pool D</t>
  </si>
  <si>
    <t>Quarterfinals</t>
  </si>
  <si>
    <t>Semifinals</t>
  </si>
  <si>
    <t>Match for 3rd Place</t>
  </si>
  <si>
    <t>KNOCK OUT ROUND</t>
  </si>
  <si>
    <t>GROUP STAGES</t>
  </si>
  <si>
    <t>© 2015 - Exceltemplate.net</t>
  </si>
  <si>
    <t>PF</t>
  </si>
  <si>
    <t>PA</t>
  </si>
  <si>
    <t>PD</t>
  </si>
  <si>
    <t>Rugby World Cup 2015 Schedule and Scoresheet</t>
  </si>
  <si>
    <t>QF</t>
  </si>
  <si>
    <t>SF</t>
  </si>
  <si>
    <t>3rd</t>
  </si>
  <si>
    <t>F</t>
  </si>
  <si>
    <t>Player Name</t>
  </si>
  <si>
    <t>Knock Out Stages</t>
  </si>
  <si>
    <t>Match</t>
  </si>
  <si>
    <t>Winner</t>
  </si>
  <si>
    <t>Runner Up</t>
  </si>
  <si>
    <t>&lt;&lt; first prediction</t>
  </si>
  <si>
    <t>Team in Knock Out Round</t>
  </si>
  <si>
    <t>© 2015 - exceltemplate.net</t>
  </si>
  <si>
    <t>SCORE PREDICTION SHEET</t>
  </si>
  <si>
    <t>Player No</t>
  </si>
  <si>
    <t>Score Prediction</t>
  </si>
  <si>
    <t>Real Score</t>
  </si>
  <si>
    <t>Dates</t>
  </si>
  <si>
    <t>Based on Prediction Matches</t>
  </si>
  <si>
    <t xml:space="preserve">Need help? Please see this page for information: </t>
  </si>
  <si>
    <t>https://exceltemplate.net/support/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</si>
</sst>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d\-mmm\,\ h:mm"/>
    <numFmt numFmtId="166" formatCode="[$-409]d\-mmm;@"/>
    <numFmt numFmtId="167" formatCode="0_);\(0\)"/>
  </numFmts>
  <fonts count="22" x14ac:knownFonts="1">
    <font>
      <sz val="10"/>
      <name val="Arial"/>
    </font>
    <font>
      <sz val="8"/>
      <name val="Arial"/>
      <family val="2"/>
    </font>
    <font>
      <u/>
      <sz val="10"/>
      <color indexed="12"/>
      <name val="Arial"/>
      <family val="2"/>
    </font>
    <font>
      <sz val="11"/>
      <name val="Calibri"/>
      <family val="2"/>
      <scheme val="minor"/>
    </font>
    <font>
      <sz val="11"/>
      <color theme="0"/>
      <name val="Calibri"/>
      <family val="2"/>
      <scheme val="minor"/>
    </font>
    <font>
      <sz val="10"/>
      <name val="Arial"/>
      <family val="2"/>
    </font>
    <font>
      <b/>
      <sz val="11"/>
      <name val="Calibri"/>
      <family val="2"/>
      <scheme val="minor"/>
    </font>
    <font>
      <b/>
      <sz val="11"/>
      <color indexed="9"/>
      <name val="Calibri"/>
      <family val="2"/>
      <scheme val="minor"/>
    </font>
    <font>
      <sz val="11"/>
      <color rgb="FFFF0000"/>
      <name val="Calibri"/>
      <family val="2"/>
      <scheme val="minor"/>
    </font>
    <font>
      <b/>
      <sz val="9"/>
      <color indexed="81"/>
      <name val="Tahoma"/>
      <family val="2"/>
    </font>
    <font>
      <b/>
      <sz val="11"/>
      <color theme="0"/>
      <name val="Calibri"/>
      <family val="2"/>
      <scheme val="minor"/>
    </font>
    <font>
      <b/>
      <sz val="16"/>
      <name val="Calibri"/>
      <family val="2"/>
      <scheme val="minor"/>
    </font>
    <font>
      <sz val="10"/>
      <color theme="0"/>
      <name val="Calibri"/>
      <family val="2"/>
      <scheme val="minor"/>
    </font>
    <font>
      <sz val="16"/>
      <color theme="0"/>
      <name val="Calibri"/>
      <family val="2"/>
      <scheme val="minor"/>
    </font>
    <font>
      <sz val="10"/>
      <color theme="0"/>
      <name val="Arial"/>
      <family val="2"/>
    </font>
    <font>
      <sz val="10"/>
      <color theme="0"/>
      <name val="Verdana"/>
      <family val="2"/>
    </font>
    <font>
      <sz val="12"/>
      <color theme="1"/>
      <name val="Calibri"/>
      <family val="2"/>
      <scheme val="minor"/>
    </font>
    <font>
      <sz val="20"/>
      <color theme="1"/>
      <name val="Arial"/>
      <family val="2"/>
    </font>
    <font>
      <sz val="20"/>
      <color theme="1"/>
      <name val="Calibri"/>
      <family val="2"/>
      <scheme val="minor"/>
    </font>
    <font>
      <u/>
      <sz val="12"/>
      <color theme="10"/>
      <name val="Calibri"/>
      <family val="2"/>
      <scheme val="minor"/>
    </font>
    <font>
      <u/>
      <sz val="20"/>
      <color theme="10"/>
      <name val="Arial"/>
      <family val="2"/>
    </font>
    <font>
      <u/>
      <sz val="20"/>
      <color theme="1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rgb="FFFF0000"/>
        <bgColor indexed="64"/>
      </patternFill>
    </fill>
    <fill>
      <patternFill patternType="solid">
        <fgColor rgb="FF0000FF"/>
        <bgColor indexed="64"/>
      </patternFill>
    </fill>
    <fill>
      <patternFill patternType="solid">
        <fgColor theme="3" tint="0.39997558519241921"/>
        <bgColor indexed="64"/>
      </patternFill>
    </fill>
    <fill>
      <patternFill patternType="solid">
        <fgColor rgb="FFC00000"/>
        <bgColor indexed="64"/>
      </patternFill>
    </fill>
  </fills>
  <borders count="11">
    <border>
      <left/>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0" fontId="5" fillId="0" borderId="0"/>
    <xf numFmtId="0" fontId="16" fillId="0" borderId="0"/>
    <xf numFmtId="0" fontId="19" fillId="0" borderId="0" applyNumberFormat="0" applyFill="0" applyBorder="0" applyAlignment="0" applyProtection="0"/>
  </cellStyleXfs>
  <cellXfs count="133">
    <xf numFmtId="0" fontId="0" fillId="0" borderId="0" xfId="0"/>
    <xf numFmtId="0" fontId="3" fillId="0" borderId="0" xfId="0" applyFont="1" applyProtection="1">
      <protection hidden="1"/>
    </xf>
    <xf numFmtId="0" fontId="3" fillId="0" borderId="0" xfId="0" applyFont="1" applyAlignment="1" applyProtection="1">
      <protection hidden="1"/>
    </xf>
    <xf numFmtId="0" fontId="3" fillId="0" borderId="0" xfId="0" applyFont="1" applyAlignment="1" applyProtection="1">
      <alignment horizontal="center"/>
      <protection hidden="1"/>
    </xf>
    <xf numFmtId="0" fontId="3" fillId="0" borderId="0" xfId="0" applyFont="1" applyAlignment="1" applyProtection="1">
      <alignment vertical="center"/>
      <protection hidden="1"/>
    </xf>
    <xf numFmtId="0" fontId="3" fillId="0" borderId="1"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horizontal="center" vertical="center"/>
      <protection hidden="1"/>
    </xf>
    <xf numFmtId="0" fontId="3" fillId="0" borderId="2" xfId="0" applyFont="1" applyBorder="1" applyAlignment="1" applyProtection="1">
      <alignment vertical="center"/>
      <protection hidden="1"/>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hidden="1"/>
    </xf>
    <xf numFmtId="0" fontId="3" fillId="0" borderId="7" xfId="0" applyFont="1" applyBorder="1" applyAlignment="1" applyProtection="1">
      <alignment vertical="center"/>
      <protection hidden="1"/>
    </xf>
    <xf numFmtId="0" fontId="3" fillId="0" borderId="5" xfId="0" applyFont="1" applyBorder="1" applyAlignment="1" applyProtection="1">
      <alignment vertical="center"/>
      <protection hidden="1"/>
    </xf>
    <xf numFmtId="0" fontId="3"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Border="1" applyAlignment="1" applyProtection="1">
      <alignment vertical="center"/>
      <protection locked="0"/>
    </xf>
    <xf numFmtId="0" fontId="3" fillId="0" borderId="0" xfId="0" applyFont="1" applyAlignment="1" applyProtection="1">
      <alignment horizontal="center" vertical="center"/>
      <protection hidden="1"/>
    </xf>
    <xf numFmtId="0" fontId="3" fillId="0" borderId="1" xfId="0" applyFont="1" applyBorder="1" applyAlignment="1" applyProtection="1">
      <alignment vertical="center"/>
      <protection locked="0"/>
    </xf>
    <xf numFmtId="0" fontId="4" fillId="0" borderId="0" xfId="0" applyFont="1" applyAlignment="1" applyProtection="1">
      <alignment vertical="center"/>
      <protection hidden="1"/>
    </xf>
    <xf numFmtId="0" fontId="6"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166" fontId="3" fillId="0" borderId="0" xfId="0" applyNumberFormat="1" applyFont="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3" fillId="0" borderId="0" xfId="0" applyFont="1" applyFill="1" applyBorder="1" applyAlignment="1" applyProtection="1">
      <alignment horizontal="center" vertical="center"/>
      <protection hidden="1"/>
    </xf>
    <xf numFmtId="0" fontId="10" fillId="4" borderId="9" xfId="0" applyFont="1" applyFill="1" applyBorder="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0" xfId="0" applyFont="1" applyBorder="1" applyAlignment="1" applyProtection="1">
      <alignment horizontal="left" vertical="center"/>
      <protection hidden="1"/>
    </xf>
    <xf numFmtId="0" fontId="4" fillId="0" borderId="2" xfId="0" applyFont="1" applyBorder="1" applyAlignment="1" applyProtection="1">
      <alignment vertical="center"/>
      <protection hidden="1"/>
    </xf>
    <xf numFmtId="0" fontId="3" fillId="0" borderId="0" xfId="0" applyFont="1" applyAlignment="1" applyProtection="1">
      <alignment horizontal="left" vertical="center"/>
      <protection hidden="1"/>
    </xf>
    <xf numFmtId="0" fontId="3" fillId="0" borderId="5" xfId="0" applyFont="1" applyBorder="1" applyAlignment="1" applyProtection="1">
      <alignment horizontal="center" vertical="center"/>
      <protection hidden="1"/>
    </xf>
    <xf numFmtId="0" fontId="4" fillId="0" borderId="0" xfId="0" applyFont="1" applyProtection="1">
      <protection hidden="1"/>
    </xf>
    <xf numFmtId="0" fontId="6" fillId="0" borderId="0" xfId="0" applyFont="1" applyBorder="1" applyAlignment="1" applyProtection="1">
      <alignment horizontal="center" vertical="center"/>
      <protection hidden="1"/>
    </xf>
    <xf numFmtId="0" fontId="4" fillId="0" borderId="2" xfId="0" applyFont="1" applyBorder="1" applyAlignment="1" applyProtection="1">
      <alignment vertical="center"/>
      <protection locked="0"/>
    </xf>
    <xf numFmtId="0" fontId="4" fillId="0" borderId="2" xfId="0" applyFont="1" applyBorder="1" applyAlignment="1" applyProtection="1">
      <alignment horizontal="left" vertical="center" indent="1"/>
      <protection locked="0"/>
    </xf>
    <xf numFmtId="167" fontId="4" fillId="0" borderId="2" xfId="0" applyNumberFormat="1" applyFont="1" applyBorder="1" applyAlignment="1" applyProtection="1">
      <alignment vertical="center"/>
      <protection locked="0"/>
    </xf>
    <xf numFmtId="0" fontId="3" fillId="0" borderId="4" xfId="0" applyFont="1" applyBorder="1" applyAlignment="1" applyProtection="1">
      <alignment horizontal="center" vertical="center"/>
      <protection hidden="1"/>
    </xf>
    <xf numFmtId="0" fontId="6" fillId="0" borderId="0" xfId="0" applyFont="1" applyFill="1" applyAlignment="1" applyProtection="1">
      <alignment vertical="center"/>
      <protection hidden="1"/>
    </xf>
    <xf numFmtId="0" fontId="6" fillId="0" borderId="0" xfId="0" applyFont="1" applyAlignment="1" applyProtection="1">
      <alignment vertical="center"/>
      <protection hidden="1"/>
    </xf>
    <xf numFmtId="0" fontId="11" fillId="0" borderId="0" xfId="0" applyFont="1" applyAlignment="1" applyProtection="1">
      <alignment vertical="center"/>
      <protection hidden="1"/>
    </xf>
    <xf numFmtId="0" fontId="4" fillId="0" borderId="0" xfId="0" applyFont="1" applyFill="1" applyBorder="1" applyAlignment="1" applyProtection="1">
      <alignment horizontal="left" indent="1"/>
      <protection hidden="1"/>
    </xf>
    <xf numFmtId="0" fontId="3" fillId="0" borderId="2" xfId="0" applyFont="1" applyFill="1" applyBorder="1" applyAlignment="1" applyProtection="1">
      <alignment vertical="center"/>
      <protection hidden="1"/>
    </xf>
    <xf numFmtId="0" fontId="4" fillId="0" borderId="0" xfId="0" applyFont="1" applyFill="1" applyBorder="1" applyAlignment="1" applyProtection="1">
      <alignment horizontal="left" vertical="center" indent="1"/>
      <protection hidden="1"/>
    </xf>
    <xf numFmtId="0" fontId="4" fillId="0" borderId="0" xfId="0" applyFont="1" applyFill="1" applyBorder="1" applyAlignment="1" applyProtection="1">
      <alignment vertical="center"/>
      <protection hidden="1"/>
    </xf>
    <xf numFmtId="0" fontId="4" fillId="0" borderId="0" xfId="0" applyFont="1" applyFill="1" applyBorder="1" applyProtection="1">
      <protection hidden="1"/>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locked="0"/>
    </xf>
    <xf numFmtId="0" fontId="4"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locked="0"/>
    </xf>
    <xf numFmtId="16" fontId="4" fillId="0" borderId="0" xfId="0" applyNumberFormat="1" applyFont="1" applyFill="1" applyBorder="1" applyAlignment="1" applyProtection="1">
      <alignment horizontal="right" vertical="center" wrapText="1" shrinkToFit="1"/>
      <protection locked="0"/>
    </xf>
    <xf numFmtId="164" fontId="4"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xf>
    <xf numFmtId="0" fontId="4" fillId="0" borderId="0" xfId="0" quotePrefix="1"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12" fillId="0"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locked="0"/>
    </xf>
    <xf numFmtId="0" fontId="4" fillId="0" borderId="0" xfId="0" applyFont="1" applyFill="1" applyBorder="1" applyAlignment="1">
      <alignment horizontal="center"/>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indent="1"/>
      <protection locked="0"/>
    </xf>
    <xf numFmtId="0" fontId="12" fillId="0" borderId="0" xfId="0" applyFont="1" applyFill="1" applyBorder="1" applyAlignment="1" applyProtection="1">
      <alignment horizontal="left" vertical="center"/>
      <protection locked="0"/>
    </xf>
    <xf numFmtId="0" fontId="14" fillId="0" borderId="0" xfId="0" applyFont="1" applyFill="1" applyBorder="1"/>
    <xf numFmtId="0" fontId="4" fillId="0" borderId="0" xfId="0" applyFont="1" applyFill="1" applyBorder="1" applyAlignment="1" applyProtection="1">
      <alignment wrapText="1"/>
      <protection hidden="1"/>
    </xf>
    <xf numFmtId="0" fontId="4" fillId="0" borderId="0" xfId="0" applyFont="1" applyFill="1" applyBorder="1" applyAlignment="1" applyProtection="1">
      <protection hidden="1"/>
    </xf>
    <xf numFmtId="0" fontId="4" fillId="0" borderId="0" xfId="0" applyFont="1" applyFill="1" applyBorder="1" applyAlignment="1" applyProtection="1">
      <alignment horizontal="center"/>
      <protection locked="0"/>
    </xf>
    <xf numFmtId="0" fontId="4" fillId="0" borderId="0" xfId="0" applyFont="1" applyFill="1" applyBorder="1" applyProtection="1">
      <protection locked="0"/>
    </xf>
    <xf numFmtId="0" fontId="4" fillId="0" borderId="0" xfId="0" applyFont="1" applyFill="1" applyBorder="1" applyAlignment="1" applyProtection="1">
      <alignment horizontal="center"/>
      <protection hidden="1"/>
    </xf>
    <xf numFmtId="0" fontId="4" fillId="0" borderId="0" xfId="0" applyFont="1" applyFill="1" applyBorder="1" applyAlignment="1" applyProtection="1">
      <alignment horizontal="center" wrapText="1"/>
      <protection hidden="1"/>
    </xf>
    <xf numFmtId="0" fontId="4" fillId="0" borderId="0" xfId="1" applyFont="1" applyFill="1" applyBorder="1" applyAlignment="1" applyProtection="1">
      <alignment vertical="center"/>
      <protection hidden="1"/>
    </xf>
    <xf numFmtId="0" fontId="4" fillId="0" borderId="0" xfId="0" applyFont="1" applyFill="1" applyBorder="1" applyAlignment="1" applyProtection="1">
      <alignment horizontal="left" vertical="center" indent="1"/>
      <protection locked="0"/>
    </xf>
    <xf numFmtId="165" fontId="4" fillId="0" borderId="0" xfId="0" applyNumberFormat="1" applyFont="1" applyFill="1" applyBorder="1" applyAlignment="1" applyProtection="1">
      <alignment horizontal="center" vertical="center"/>
      <protection locked="0"/>
    </xf>
    <xf numFmtId="0" fontId="15" fillId="0" borderId="0" xfId="0" applyFont="1" applyFill="1" applyBorder="1" applyProtection="1">
      <protection hidden="1"/>
    </xf>
    <xf numFmtId="0" fontId="6" fillId="0" borderId="2" xfId="0" applyFont="1" applyBorder="1" applyAlignment="1" applyProtection="1">
      <alignment horizontal="center" vertical="center"/>
      <protection hidden="1"/>
    </xf>
    <xf numFmtId="164" fontId="3" fillId="0" borderId="2" xfId="0" applyNumberFormat="1" applyFont="1" applyBorder="1" applyAlignment="1" applyProtection="1">
      <alignment horizontal="right" vertical="center"/>
      <protection hidden="1"/>
    </xf>
    <xf numFmtId="0" fontId="10" fillId="4" borderId="4" xfId="0" applyFont="1" applyFill="1" applyBorder="1" applyAlignment="1" applyProtection="1">
      <alignment horizontal="center" vertical="center"/>
      <protection hidden="1"/>
    </xf>
    <xf numFmtId="0" fontId="4" fillId="0" borderId="1" xfId="0" applyFont="1" applyBorder="1" applyAlignment="1" applyProtection="1">
      <alignment vertical="center"/>
      <protection hidden="1"/>
    </xf>
    <xf numFmtId="0" fontId="7" fillId="0" borderId="1" xfId="0" applyFont="1" applyFill="1" applyBorder="1" applyAlignment="1" applyProtection="1">
      <alignment vertical="center"/>
      <protection hidden="1"/>
    </xf>
    <xf numFmtId="0" fontId="3" fillId="2" borderId="10" xfId="0" applyFont="1" applyFill="1" applyBorder="1" applyAlignment="1" applyProtection="1">
      <alignment vertical="center"/>
      <protection locked="0"/>
    </xf>
    <xf numFmtId="167" fontId="4" fillId="0" borderId="2" xfId="0" applyNumberFormat="1" applyFont="1" applyBorder="1" applyAlignment="1" applyProtection="1">
      <alignment vertical="center"/>
      <protection hidden="1"/>
    </xf>
    <xf numFmtId="0" fontId="3" fillId="0" borderId="9" xfId="0" applyFont="1" applyBorder="1" applyAlignment="1" applyProtection="1">
      <alignment horizontal="center" vertical="center" wrapText="1"/>
      <protection hidden="1"/>
    </xf>
    <xf numFmtId="0" fontId="4" fillId="0" borderId="1" xfId="0" applyFont="1" applyBorder="1" applyAlignment="1" applyProtection="1">
      <alignment horizontal="left" vertical="center" wrapText="1"/>
      <protection hidden="1"/>
    </xf>
    <xf numFmtId="0" fontId="3" fillId="0" borderId="0" xfId="0" applyFont="1" applyBorder="1" applyAlignment="1" applyProtection="1">
      <alignment horizontal="right" vertical="center" wrapText="1" indent="1"/>
      <protection hidden="1"/>
    </xf>
    <xf numFmtId="0" fontId="3" fillId="0" borderId="0" xfId="0" applyFont="1" applyBorder="1" applyAlignment="1" applyProtection="1">
      <alignment horizontal="left" vertical="center" wrapText="1" indent="1"/>
      <protection hidden="1"/>
    </xf>
    <xf numFmtId="0" fontId="4" fillId="0" borderId="2" xfId="0" applyFont="1" applyBorder="1" applyAlignment="1" applyProtection="1">
      <alignment horizontal="left" vertical="center" wrapText="1"/>
      <protection hidden="1"/>
    </xf>
    <xf numFmtId="0" fontId="4" fillId="0" borderId="6" xfId="0" applyFont="1" applyBorder="1" applyAlignment="1" applyProtection="1">
      <alignment vertical="center"/>
      <protection hidden="1"/>
    </xf>
    <xf numFmtId="0" fontId="3" fillId="0" borderId="0" xfId="0" applyFont="1" applyBorder="1" applyAlignment="1" applyProtection="1">
      <alignment horizontal="center" vertical="center" wrapText="1"/>
      <protection hidden="1"/>
    </xf>
    <xf numFmtId="0" fontId="3" fillId="2" borderId="8"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7" fillId="5" borderId="0"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7" fillId="5" borderId="3" xfId="0" applyFont="1" applyFill="1" applyBorder="1" applyAlignment="1" applyProtection="1">
      <alignment horizontal="center" vertical="center"/>
      <protection hidden="1"/>
    </xf>
    <xf numFmtId="0" fontId="7" fillId="0" borderId="1"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7" fillId="0" borderId="2"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protection hidden="1"/>
    </xf>
    <xf numFmtId="0" fontId="7" fillId="4" borderId="0" xfId="0" applyFont="1" applyFill="1" applyBorder="1" applyAlignment="1" applyProtection="1">
      <alignment horizontal="center" vertical="center"/>
      <protection hidden="1"/>
    </xf>
    <xf numFmtId="0" fontId="7" fillId="4" borderId="8" xfId="0" applyFont="1" applyFill="1" applyBorder="1" applyAlignment="1" applyProtection="1">
      <alignment horizontal="center" vertical="center"/>
      <protection hidden="1"/>
    </xf>
    <xf numFmtId="0" fontId="7" fillId="4" borderId="3" xfId="0" applyFont="1" applyFill="1" applyBorder="1" applyAlignment="1" applyProtection="1">
      <alignment horizontal="center" vertical="center"/>
      <protection hidden="1"/>
    </xf>
    <xf numFmtId="0" fontId="7" fillId="4" borderId="4" xfId="0" applyFont="1" applyFill="1" applyBorder="1" applyAlignment="1" applyProtection="1">
      <alignment horizontal="center" vertical="center"/>
      <protection hidden="1"/>
    </xf>
    <xf numFmtId="0" fontId="7" fillId="6" borderId="3" xfId="0" applyFont="1" applyFill="1" applyBorder="1" applyAlignment="1" applyProtection="1">
      <alignment horizontal="center" vertical="center"/>
      <protection hidden="1"/>
    </xf>
    <xf numFmtId="0" fontId="7" fillId="6" borderId="0" xfId="0" applyFont="1" applyFill="1" applyBorder="1" applyAlignment="1" applyProtection="1">
      <alignment horizontal="center" vertical="center"/>
      <protection hidden="1"/>
    </xf>
    <xf numFmtId="0" fontId="7" fillId="6" borderId="2"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protection hidden="1"/>
    </xf>
    <xf numFmtId="0" fontId="4" fillId="4" borderId="4" xfId="0" applyFont="1" applyFill="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6" fillId="5" borderId="0" xfId="0" applyFont="1" applyFill="1" applyAlignment="1" applyProtection="1">
      <alignment horizontal="center" vertical="center"/>
      <protection hidden="1"/>
    </xf>
    <xf numFmtId="0" fontId="4" fillId="0" borderId="0" xfId="0" applyFont="1" applyFill="1" applyBorder="1" applyAlignment="1">
      <alignment horizontal="center"/>
    </xf>
    <xf numFmtId="0" fontId="12" fillId="0" borderId="0" xfId="0" applyFont="1" applyFill="1" applyBorder="1" applyAlignment="1" applyProtection="1">
      <alignment horizontal="left" vertical="center"/>
      <protection locked="0" hidden="1"/>
    </xf>
    <xf numFmtId="0" fontId="4" fillId="0" borderId="0" xfId="0" applyFont="1" applyFill="1" applyBorder="1" applyAlignment="1" applyProtection="1">
      <alignment horizontal="center" vertical="center"/>
      <protection locked="0"/>
    </xf>
    <xf numFmtId="165" fontId="4"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wrapText="1"/>
      <protection locked="0"/>
    </xf>
    <xf numFmtId="0" fontId="4"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textRotation="255"/>
      <protection locked="0"/>
    </xf>
    <xf numFmtId="0" fontId="12"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indent="1"/>
      <protection locked="0"/>
    </xf>
    <xf numFmtId="0" fontId="17" fillId="0" borderId="0" xfId="3" applyFont="1"/>
    <xf numFmtId="0" fontId="18" fillId="0" borderId="0" xfId="3" applyFont="1"/>
    <xf numFmtId="0" fontId="20" fillId="0" borderId="0" xfId="4" applyFont="1"/>
    <xf numFmtId="0" fontId="17" fillId="0" borderId="0" xfId="3" applyFont="1" applyAlignment="1">
      <alignment horizontal="left"/>
    </xf>
    <xf numFmtId="0" fontId="17" fillId="0" borderId="0" xfId="3" applyFont="1" applyAlignment="1"/>
    <xf numFmtId="0" fontId="21" fillId="0" borderId="0" xfId="4" applyFont="1" applyAlignment="1">
      <alignment horizontal="left"/>
    </xf>
    <xf numFmtId="0" fontId="21" fillId="0" borderId="0" xfId="4" applyFont="1" applyAlignment="1"/>
    <xf numFmtId="0" fontId="16" fillId="0" borderId="0" xfId="3"/>
  </cellXfs>
  <cellStyles count="5">
    <cellStyle name="Hyperlink" xfId="1" builtinId="8"/>
    <cellStyle name="Hyperlink 2" xfId="4"/>
    <cellStyle name="Normal" xfId="0" builtinId="0"/>
    <cellStyle name="Normal 2" xfId="2"/>
    <cellStyle name="Normal 3" xfId="3"/>
  </cellStyles>
  <dxfs count="40">
    <dxf>
      <fill>
        <patternFill>
          <bgColor theme="9" tint="0.79998168889431442"/>
        </patternFill>
      </fill>
    </dxf>
    <dxf>
      <fill>
        <patternFill>
          <bgColor theme="9" tint="0.79998168889431442"/>
        </patternFill>
      </fill>
    </dxf>
    <dxf>
      <fill>
        <patternFill>
          <bgColor indexed="41"/>
        </patternFill>
      </fill>
      <border>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indexed="41"/>
        </patternFill>
      </fill>
      <border>
        <left style="thin">
          <color indexed="64"/>
        </left>
        <right style="thin">
          <color indexed="64"/>
        </right>
        <top style="thin">
          <color indexed="64"/>
        </top>
        <bottom style="thin">
          <color indexed="64"/>
        </bottom>
      </border>
    </dxf>
    <dxf>
      <fill>
        <patternFill>
          <bgColor theme="9" tint="0.79998168889431442"/>
        </patternFill>
      </fill>
    </dxf>
    <dxf>
      <fill>
        <patternFill>
          <bgColor indexed="41"/>
        </patternFill>
      </fill>
      <border>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indexed="41"/>
        </patternFill>
      </fill>
      <border>
        <left style="thin">
          <color indexed="64"/>
        </left>
        <right style="thin">
          <color indexed="64"/>
        </right>
        <top style="thin">
          <color indexed="64"/>
        </top>
        <bottom style="thin">
          <color indexed="64"/>
        </bottom>
      </border>
    </dxf>
    <dxf>
      <font>
        <b/>
        <i val="0"/>
      </font>
      <fill>
        <patternFill>
          <bgColor theme="3" tint="0.79998168889431442"/>
        </patternFill>
      </fill>
    </dxf>
    <dxf>
      <font>
        <b/>
        <i val="0"/>
      </font>
      <fill>
        <patternFill>
          <bgColor theme="3" tint="0.79998168889431442"/>
        </patternFill>
      </fill>
    </dxf>
    <dxf>
      <font>
        <b/>
        <i val="0"/>
        <color rgb="FF0000FF"/>
      </font>
    </dxf>
    <dxf>
      <font>
        <b/>
        <i val="0"/>
      </font>
      <fill>
        <patternFill>
          <bgColor theme="3" tint="0.79998168889431442"/>
        </patternFill>
      </fill>
    </dxf>
    <dxf>
      <font>
        <b/>
        <i val="0"/>
        <color rgb="FF0000FF"/>
      </font>
    </dxf>
    <dxf>
      <font>
        <b/>
        <i val="0"/>
      </font>
      <fill>
        <patternFill>
          <bgColor theme="3" tint="0.79998168889431442"/>
        </patternFill>
      </fill>
    </dxf>
    <dxf>
      <font>
        <condense val="0"/>
        <extend val="0"/>
        <color indexed="55"/>
      </font>
    </dxf>
    <dxf>
      <font>
        <b/>
        <i val="0"/>
        <condense val="0"/>
        <extend val="0"/>
        <color indexed="12"/>
      </font>
    </dxf>
    <dxf>
      <font>
        <condense val="0"/>
        <extend val="0"/>
        <color indexed="55"/>
      </font>
    </dxf>
    <dxf>
      <font>
        <b/>
        <i val="0"/>
        <condense val="0"/>
        <extend val="0"/>
        <color indexed="12"/>
      </font>
    </dxf>
    <dxf>
      <fill>
        <patternFill>
          <bgColor theme="9" tint="0.79998168889431442"/>
        </patternFill>
      </fill>
    </dxf>
    <dxf>
      <fill>
        <patternFill>
          <bgColor indexed="41"/>
        </patternFill>
      </fill>
      <border>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indexed="41"/>
        </patternFill>
      </fill>
      <border>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indexed="41"/>
        </patternFill>
      </fill>
      <border>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ont>
        <condense val="0"/>
        <extend val="0"/>
        <color indexed="55"/>
      </font>
    </dxf>
    <dxf>
      <font>
        <b/>
        <i val="0"/>
        <condense val="0"/>
        <extend val="0"/>
        <color indexed="12"/>
      </font>
    </dxf>
    <dxf>
      <font>
        <condense val="0"/>
        <extend val="0"/>
        <color indexed="55"/>
      </font>
    </dxf>
    <dxf>
      <font>
        <b/>
        <i val="0"/>
        <condense val="0"/>
        <extend val="0"/>
        <color indexed="12"/>
      </font>
    </dxf>
    <dxf>
      <font>
        <condense val="0"/>
        <extend val="0"/>
        <color indexed="55"/>
      </font>
    </dxf>
    <dxf>
      <font>
        <b/>
        <i val="0"/>
        <condense val="0"/>
        <extend val="0"/>
        <color indexed="12"/>
      </font>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xceltemplate.net/?utm_source=template&amp;utm_medium=tbanner&amp;utm_campaign=copyrigh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exceltemplate.net/?utm_source=template&amp;utm_medium=tbanner&amp;utm_campaign=copyright"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28785</xdr:rowOff>
    </xdr:from>
    <xdr:to>
      <xdr:col>11</xdr:col>
      <xdr:colOff>476250</xdr:colOff>
      <xdr:row>37</xdr:row>
      <xdr:rowOff>66658</xdr:rowOff>
    </xdr:to>
    <xdr:pic>
      <xdr:nvPicPr>
        <xdr:cNvPr id="2" name="Picture 1">
          <a:hlinkClick xmlns:r="http://schemas.openxmlformats.org/officeDocument/2006/relationships" r:id="rId1"/>
          <a:extLst>
            <a:ext uri="{FF2B5EF4-FFF2-40B4-BE49-F238E27FC236}">
              <a16:creationId xmlns="" xmlns:a16="http://schemas.microsoft.com/office/drawing/2014/main" id="{96D79DA8-AC57-CE4D-AB73-6B256102EB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8785"/>
          <a:ext cx="9864090" cy="7368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28785</xdr:rowOff>
    </xdr:from>
    <xdr:to>
      <xdr:col>11</xdr:col>
      <xdr:colOff>476250</xdr:colOff>
      <xdr:row>37</xdr:row>
      <xdr:rowOff>66658</xdr:rowOff>
    </xdr:to>
    <xdr:pic>
      <xdr:nvPicPr>
        <xdr:cNvPr id="2" name="Picture 1">
          <a:hlinkClick xmlns:r="http://schemas.openxmlformats.org/officeDocument/2006/relationships" r:id="rId1"/>
          <a:extLst>
            <a:ext uri="{FF2B5EF4-FFF2-40B4-BE49-F238E27FC236}">
              <a16:creationId xmlns="" xmlns:a16="http://schemas.microsoft.com/office/drawing/2014/main" id="{96D79DA8-AC57-CE4D-AB73-6B256102EB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0" y="28785"/>
          <a:ext cx="9864090" cy="73683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xceltemplate.net/support/?utm_source=template&amp;utm_medium=tbanner&amp;utm_campaign=copyright" TargetMode="External"/><Relationship Id="rId1" Type="http://schemas.openxmlformats.org/officeDocument/2006/relationships/hyperlink" Target="https://exceltemplate.net/support/"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xceltemplate.net/support/?utm_source=template&amp;utm_medium=tbanner&amp;utm_campaign=copyright" TargetMode="External"/><Relationship Id="rId1" Type="http://schemas.openxmlformats.org/officeDocument/2006/relationships/hyperlink" Target="https://exceltemplate.net/support/"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exceltemplate.net/" TargetMode="External"/><Relationship Id="rId1" Type="http://schemas.openxmlformats.org/officeDocument/2006/relationships/hyperlink" Target="http://www.exceltemplate.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E118"/>
  <sheetViews>
    <sheetView showGridLines="0" zoomScale="90" zoomScaleNormal="90" workbookViewId="0">
      <selection activeCell="H13" sqref="H13:J52"/>
    </sheetView>
  </sheetViews>
  <sheetFormatPr defaultColWidth="0" defaultRowHeight="14.4" customHeight="1" zeroHeight="1" x14ac:dyDescent="0.3"/>
  <cols>
    <col min="1" max="1" width="2.44140625" style="31" customWidth="1"/>
    <col min="2" max="2" width="3.6640625" style="1" customWidth="1"/>
    <col min="3" max="3" width="4.109375" style="1" customWidth="1"/>
    <col min="4" max="4" width="9.88671875" style="1" customWidth="1"/>
    <col min="5" max="5" width="12" style="1" customWidth="1"/>
    <col min="6" max="6" width="9.109375" style="2" customWidth="1"/>
    <col min="7" max="7" width="20.6640625" style="1" customWidth="1"/>
    <col min="8" max="8" width="3.44140625" style="1" customWidth="1"/>
    <col min="9" max="9" width="1.77734375" style="3" customWidth="1"/>
    <col min="10" max="10" width="3.44140625" style="1" customWidth="1"/>
    <col min="11" max="11" width="20.6640625" style="1" customWidth="1"/>
    <col min="12" max="12" width="3.44140625" style="1" customWidth="1"/>
    <col min="13" max="13" width="1.77734375" style="1" customWidth="1"/>
    <col min="14" max="14" width="3.44140625" style="1" customWidth="1"/>
    <col min="15" max="15" width="1.6640625" style="1" customWidth="1"/>
    <col min="16" max="16" width="3.44140625" style="1" customWidth="1"/>
    <col min="17" max="17" width="1.77734375" style="3" customWidth="1"/>
    <col min="18" max="18" width="3.44140625" style="1" customWidth="1"/>
    <col min="19" max="19" width="1.6640625" style="1" customWidth="1"/>
    <col min="20" max="20" width="1.77734375" style="1" customWidth="1"/>
    <col min="21" max="21" width="1.6640625" style="1" customWidth="1"/>
    <col min="22" max="22" width="20.6640625" style="1" customWidth="1"/>
    <col min="23" max="23" width="3.44140625" style="1" customWidth="1"/>
    <col min="24" max="24" width="1.77734375" style="1" customWidth="1"/>
    <col min="25" max="25" width="3.44140625" style="1" customWidth="1"/>
    <col min="26" max="26" width="20.6640625" style="1" customWidth="1"/>
    <col min="27" max="27" width="3.44140625" style="1" customWidth="1"/>
    <col min="28" max="28" width="1.77734375" style="1" customWidth="1"/>
    <col min="29" max="29" width="3.44140625" style="1" customWidth="1"/>
    <col min="30" max="30" width="1.77734375" style="1" customWidth="1"/>
    <col min="31" max="31" width="2.109375" style="1" customWidth="1"/>
    <col min="32" max="16384" width="9.109375" style="1" hidden="1"/>
  </cols>
  <sheetData>
    <row r="1" spans="1:30" s="4" customFormat="1" ht="15" customHeight="1" x14ac:dyDescent="0.25">
      <c r="A1" s="19"/>
      <c r="B1" s="39" t="s">
        <v>87</v>
      </c>
      <c r="I1" s="17"/>
      <c r="Q1" s="17"/>
    </row>
    <row r="2" spans="1:30" s="4" customFormat="1" ht="15" customHeight="1" x14ac:dyDescent="0.25">
      <c r="A2" s="19"/>
      <c r="I2" s="17"/>
      <c r="Q2" s="17"/>
    </row>
    <row r="3" spans="1:30" s="4" customFormat="1" ht="19.95" customHeight="1" x14ac:dyDescent="0.25">
      <c r="A3" s="19"/>
      <c r="B3" s="4" t="s">
        <v>79</v>
      </c>
      <c r="F3" s="90"/>
      <c r="G3" s="91"/>
      <c r="H3" s="91"/>
      <c r="I3" s="91"/>
      <c r="J3" s="91"/>
      <c r="K3" s="92"/>
      <c r="Q3" s="17"/>
    </row>
    <row r="4" spans="1:30" s="4" customFormat="1" ht="19.95" customHeight="1" x14ac:dyDescent="0.25">
      <c r="A4" s="19"/>
      <c r="B4" s="4" t="s">
        <v>88</v>
      </c>
      <c r="F4" s="81"/>
      <c r="G4" s="15"/>
      <c r="H4" s="15"/>
      <c r="I4" s="17"/>
      <c r="Q4" s="17"/>
    </row>
    <row r="5" spans="1:30" s="4" customFormat="1" ht="19.95" customHeight="1" x14ac:dyDescent="0.25">
      <c r="A5" s="79">
        <f>IF(F5="Based on Prediction Matches",0,1)</f>
        <v>0</v>
      </c>
      <c r="B5" s="38" t="s">
        <v>85</v>
      </c>
      <c r="F5" s="90" t="s">
        <v>92</v>
      </c>
      <c r="G5" s="91"/>
      <c r="H5" s="92"/>
      <c r="I5" s="17"/>
      <c r="K5" s="14" t="str">
        <f>IF(A5=1,"Teams in Knock Out Bracket will be the same with qualified teams from REAL results", "Teams in Knock Out Bracket will be the same with qualified teams from PLAYER PREDICTION results")</f>
        <v>Teams in Knock Out Bracket will be the same with qualified teams from PLAYER PREDICTION results</v>
      </c>
      <c r="Q5" s="17"/>
    </row>
    <row r="6" spans="1:30" s="4" customFormat="1" ht="15" hidden="1" customHeight="1" x14ac:dyDescent="0.25">
      <c r="A6" s="19"/>
      <c r="I6" s="17"/>
      <c r="Q6" s="17"/>
    </row>
    <row r="7" spans="1:30" s="4" customFormat="1" ht="15" customHeight="1" x14ac:dyDescent="0.25">
      <c r="A7" s="19"/>
    </row>
    <row r="8" spans="1:30" s="19" customFormat="1" ht="15" customHeight="1" x14ac:dyDescent="0.25">
      <c r="B8" s="103" t="s">
        <v>91</v>
      </c>
      <c r="C8" s="104"/>
      <c r="D8" s="104"/>
      <c r="E8" s="104"/>
      <c r="F8" s="105"/>
      <c r="G8" s="102" t="s">
        <v>69</v>
      </c>
      <c r="H8" s="102"/>
      <c r="I8" s="102"/>
      <c r="J8" s="102"/>
      <c r="K8" s="102"/>
      <c r="L8" s="102"/>
      <c r="M8" s="102"/>
      <c r="N8" s="102"/>
      <c r="O8" s="102"/>
      <c r="P8" s="102"/>
      <c r="Q8" s="102"/>
      <c r="R8" s="102"/>
      <c r="S8" s="102"/>
      <c r="T8" s="102"/>
      <c r="U8" s="102"/>
      <c r="V8" s="102"/>
      <c r="W8" s="102"/>
      <c r="X8" s="102"/>
      <c r="Y8" s="102"/>
      <c r="Z8" s="102"/>
      <c r="AA8" s="102"/>
      <c r="AB8" s="102"/>
      <c r="AC8" s="102"/>
      <c r="AD8" s="102"/>
    </row>
    <row r="9" spans="1:30" s="4" customFormat="1" ht="15" customHeight="1" x14ac:dyDescent="0.25">
      <c r="A9" s="19"/>
      <c r="B9" s="97"/>
      <c r="C9" s="98"/>
      <c r="D9" s="98"/>
      <c r="E9" s="98"/>
      <c r="F9" s="99"/>
      <c r="G9" s="96" t="s">
        <v>90</v>
      </c>
      <c r="H9" s="96"/>
      <c r="I9" s="96"/>
      <c r="J9" s="96"/>
      <c r="K9" s="96"/>
      <c r="L9" s="96"/>
      <c r="M9" s="96"/>
      <c r="N9" s="96"/>
      <c r="O9" s="96"/>
      <c r="P9" s="96"/>
      <c r="Q9" s="96"/>
      <c r="R9" s="96"/>
      <c r="S9" s="96"/>
      <c r="U9" s="93" t="s">
        <v>89</v>
      </c>
      <c r="V9" s="93"/>
      <c r="W9" s="93"/>
      <c r="X9" s="93"/>
      <c r="Y9" s="93"/>
      <c r="Z9" s="93"/>
      <c r="AA9" s="93"/>
      <c r="AB9" s="93"/>
      <c r="AC9" s="93"/>
      <c r="AD9" s="94"/>
    </row>
    <row r="10" spans="1:30" s="4" customFormat="1" ht="30.6" customHeight="1" x14ac:dyDescent="0.25">
      <c r="A10" s="19"/>
      <c r="B10" s="5"/>
      <c r="C10" s="6"/>
      <c r="D10" s="6"/>
      <c r="E10" s="6"/>
      <c r="F10" s="8"/>
      <c r="G10" s="6"/>
      <c r="H10" s="6"/>
      <c r="I10" s="7"/>
      <c r="J10" s="6"/>
      <c r="K10" s="6"/>
      <c r="L10" s="6"/>
      <c r="M10" s="6"/>
      <c r="S10" s="8"/>
      <c r="U10" s="18"/>
      <c r="V10" s="16"/>
      <c r="W10" s="16"/>
      <c r="X10" s="16"/>
      <c r="Y10" s="16"/>
      <c r="Z10" s="16"/>
      <c r="AA10" s="16"/>
      <c r="AB10" s="16"/>
      <c r="AC10" s="16"/>
      <c r="AD10" s="33" t="e">
        <f t="shared" ref="AD10:AD11" si="0">SUM(AD11:AD50)</f>
        <v>#REF!</v>
      </c>
    </row>
    <row r="11" spans="1:30" s="4" customFormat="1" ht="15" customHeight="1" x14ac:dyDescent="0.25">
      <c r="A11" s="19"/>
      <c r="B11" s="5"/>
      <c r="C11" s="32" t="s">
        <v>81</v>
      </c>
      <c r="D11" s="32" t="s">
        <v>8</v>
      </c>
      <c r="E11" s="32" t="s">
        <v>15</v>
      </c>
      <c r="F11" s="76" t="s">
        <v>16</v>
      </c>
      <c r="G11" s="20" t="s">
        <v>23</v>
      </c>
      <c r="H11" s="95" t="s">
        <v>12</v>
      </c>
      <c r="I11" s="95"/>
      <c r="J11" s="95"/>
      <c r="K11" s="20" t="s">
        <v>23</v>
      </c>
      <c r="L11" s="21" t="s">
        <v>28</v>
      </c>
      <c r="M11" s="21"/>
      <c r="N11" s="21"/>
      <c r="O11" s="20"/>
      <c r="P11" s="95"/>
      <c r="Q11" s="95"/>
      <c r="R11" s="95"/>
      <c r="S11" s="8"/>
      <c r="U11" s="18"/>
      <c r="V11" s="32" t="s">
        <v>23</v>
      </c>
      <c r="W11" s="95" t="s">
        <v>12</v>
      </c>
      <c r="X11" s="95"/>
      <c r="Y11" s="95"/>
      <c r="Z11" s="32" t="s">
        <v>23</v>
      </c>
      <c r="AA11" s="21" t="s">
        <v>28</v>
      </c>
      <c r="AB11" s="21"/>
      <c r="AC11" s="21"/>
      <c r="AD11" s="33" t="e">
        <f t="shared" si="0"/>
        <v>#REF!</v>
      </c>
    </row>
    <row r="12" spans="1:30" s="4" customFormat="1" ht="15" customHeight="1" x14ac:dyDescent="0.25">
      <c r="A12" s="19"/>
      <c r="B12" s="5"/>
      <c r="C12" s="6"/>
      <c r="D12" s="6"/>
      <c r="E12" s="6"/>
      <c r="F12" s="8"/>
      <c r="G12" s="6"/>
      <c r="H12" s="6"/>
      <c r="I12" s="6"/>
      <c r="J12" s="6"/>
      <c r="K12" s="6"/>
      <c r="L12" s="6"/>
      <c r="M12" s="6"/>
      <c r="N12" s="6"/>
      <c r="O12" s="6"/>
      <c r="P12" s="6"/>
      <c r="Q12" s="6"/>
      <c r="R12" s="6"/>
      <c r="S12" s="8"/>
      <c r="U12" s="18"/>
      <c r="V12" s="16"/>
      <c r="W12" s="16"/>
      <c r="X12" s="16"/>
      <c r="Y12" s="16"/>
      <c r="Z12" s="16"/>
      <c r="AA12" s="16"/>
      <c r="AB12" s="16"/>
      <c r="AC12" s="16"/>
      <c r="AD12" s="33" t="e">
        <f>SUM(AD13:AD52)</f>
        <v>#REF!</v>
      </c>
    </row>
    <row r="13" spans="1:30" s="4" customFormat="1" ht="15" customHeight="1" x14ac:dyDescent="0.25">
      <c r="A13" s="19">
        <v>15</v>
      </c>
      <c r="B13" s="5"/>
      <c r="C13" s="7">
        <f>Tournament!D13</f>
        <v>1</v>
      </c>
      <c r="D13" s="7" t="str">
        <f>Tournament!E13</f>
        <v>A</v>
      </c>
      <c r="E13" s="22">
        <f>Tournament!F13</f>
        <v>42265</v>
      </c>
      <c r="F13" s="77">
        <f>Tournament!G13</f>
        <v>0.83333333333333337</v>
      </c>
      <c r="G13" s="23" t="str">
        <f>Tournament!H13</f>
        <v>England</v>
      </c>
      <c r="H13" s="9"/>
      <c r="I13" s="9"/>
      <c r="J13" s="9"/>
      <c r="K13" s="6" t="str">
        <f>Tournament!N13</f>
        <v>Fiji</v>
      </c>
      <c r="L13" s="9"/>
      <c r="M13" s="9"/>
      <c r="N13" s="9"/>
      <c r="O13" s="24"/>
      <c r="P13" s="24"/>
      <c r="Q13" s="24"/>
      <c r="R13" s="24"/>
      <c r="S13" s="8"/>
      <c r="U13" s="18"/>
      <c r="V13" s="23" t="str">
        <f>$G13</f>
        <v>England</v>
      </c>
      <c r="W13" s="9"/>
      <c r="X13" s="9"/>
      <c r="Y13" s="9"/>
      <c r="Z13" s="6" t="str">
        <f>$K13</f>
        <v>Fiji</v>
      </c>
      <c r="AA13" s="9"/>
      <c r="AB13" s="9"/>
      <c r="AC13" s="9"/>
      <c r="AD13" s="34" t="e">
        <f>IF(#REF!=Pool1,1,0)</f>
        <v>#REF!</v>
      </c>
    </row>
    <row r="14" spans="1:30" s="4" customFormat="1" ht="15" customHeight="1" x14ac:dyDescent="0.25">
      <c r="A14" s="19">
        <v>16</v>
      </c>
      <c r="B14" s="5"/>
      <c r="C14" s="7">
        <f>Tournament!D14</f>
        <v>2</v>
      </c>
      <c r="D14" s="7" t="str">
        <f>Tournament!E14</f>
        <v>C</v>
      </c>
      <c r="E14" s="22">
        <f>Tournament!F14</f>
        <v>42266</v>
      </c>
      <c r="F14" s="77">
        <f>Tournament!G14</f>
        <v>0.5</v>
      </c>
      <c r="G14" s="23" t="str">
        <f>Tournament!H14</f>
        <v>Tonga</v>
      </c>
      <c r="H14" s="9"/>
      <c r="I14" s="9"/>
      <c r="J14" s="9"/>
      <c r="K14" s="6" t="str">
        <f>Tournament!N14</f>
        <v>Georgia</v>
      </c>
      <c r="L14" s="9"/>
      <c r="M14" s="9"/>
      <c r="N14" s="9"/>
      <c r="O14" s="24"/>
      <c r="P14" s="24"/>
      <c r="Q14" s="24"/>
      <c r="R14" s="24"/>
      <c r="S14" s="8"/>
      <c r="U14" s="18"/>
      <c r="V14" s="23" t="str">
        <f t="shared" ref="V14:V52" si="1">$G14</f>
        <v>Tonga</v>
      </c>
      <c r="W14" s="9"/>
      <c r="X14" s="9"/>
      <c r="Y14" s="9"/>
      <c r="Z14" s="6" t="str">
        <f t="shared" ref="Z14:Z52" si="2">$K14</f>
        <v>Georgia</v>
      </c>
      <c r="AA14" s="9"/>
      <c r="AB14" s="9"/>
      <c r="AC14" s="9"/>
      <c r="AD14" s="34" t="e">
        <f>IF(#REF!=Pool1,1,0)</f>
        <v>#REF!</v>
      </c>
    </row>
    <row r="15" spans="1:30" s="4" customFormat="1" ht="15" customHeight="1" x14ac:dyDescent="0.25">
      <c r="A15" s="19">
        <v>17</v>
      </c>
      <c r="B15" s="5"/>
      <c r="C15" s="7">
        <f>Tournament!D15</f>
        <v>3</v>
      </c>
      <c r="D15" s="7" t="str">
        <f>Tournament!E15</f>
        <v>D</v>
      </c>
      <c r="E15" s="22">
        <f>Tournament!F15</f>
        <v>42266</v>
      </c>
      <c r="F15" s="77">
        <f>Tournament!G15</f>
        <v>0.60416666666666663</v>
      </c>
      <c r="G15" s="23" t="str">
        <f>Tournament!H15</f>
        <v>Ireland</v>
      </c>
      <c r="H15" s="9"/>
      <c r="I15" s="9"/>
      <c r="J15" s="9"/>
      <c r="K15" s="6" t="str">
        <f>Tournament!N15</f>
        <v>Canada</v>
      </c>
      <c r="L15" s="9"/>
      <c r="M15" s="9"/>
      <c r="N15" s="9"/>
      <c r="O15" s="24"/>
      <c r="P15" s="24"/>
      <c r="Q15" s="24"/>
      <c r="R15" s="24"/>
      <c r="S15" s="8"/>
      <c r="U15" s="18"/>
      <c r="V15" s="23" t="str">
        <f t="shared" si="1"/>
        <v>Ireland</v>
      </c>
      <c r="W15" s="9"/>
      <c r="X15" s="9"/>
      <c r="Y15" s="9"/>
      <c r="Z15" s="6" t="str">
        <f t="shared" si="2"/>
        <v>Canada</v>
      </c>
      <c r="AA15" s="9"/>
      <c r="AB15" s="9"/>
      <c r="AC15" s="9"/>
      <c r="AD15" s="34" t="e">
        <f>IF(#REF!=Pool1,1,0)</f>
        <v>#REF!</v>
      </c>
    </row>
    <row r="16" spans="1:30" s="4" customFormat="1" ht="15" customHeight="1" x14ac:dyDescent="0.25">
      <c r="A16" s="19">
        <v>18</v>
      </c>
      <c r="B16" s="5"/>
      <c r="C16" s="7">
        <f>Tournament!D16</f>
        <v>4</v>
      </c>
      <c r="D16" s="7" t="str">
        <f>Tournament!E16</f>
        <v>B</v>
      </c>
      <c r="E16" s="22">
        <f>Tournament!F16</f>
        <v>42266</v>
      </c>
      <c r="F16" s="77">
        <f>Tournament!G16</f>
        <v>0.69791666666666663</v>
      </c>
      <c r="G16" s="23" t="str">
        <f>Tournament!H16</f>
        <v>South Africa</v>
      </c>
      <c r="H16" s="9"/>
      <c r="I16" s="9"/>
      <c r="J16" s="9"/>
      <c r="K16" s="6" t="str">
        <f>Tournament!N16</f>
        <v>Japan</v>
      </c>
      <c r="L16" s="9"/>
      <c r="M16" s="9"/>
      <c r="N16" s="9"/>
      <c r="O16" s="24"/>
      <c r="P16" s="24"/>
      <c r="Q16" s="24"/>
      <c r="R16" s="24"/>
      <c r="S16" s="8"/>
      <c r="U16" s="18"/>
      <c r="V16" s="23" t="str">
        <f t="shared" si="1"/>
        <v>South Africa</v>
      </c>
      <c r="W16" s="9"/>
      <c r="X16" s="9"/>
      <c r="Y16" s="9"/>
      <c r="Z16" s="6" t="str">
        <f t="shared" si="2"/>
        <v>Japan</v>
      </c>
      <c r="AA16" s="9"/>
      <c r="AB16" s="9"/>
      <c r="AC16" s="9"/>
      <c r="AD16" s="34" t="e">
        <f>IF(#REF!=Pool1,1,0)</f>
        <v>#REF!</v>
      </c>
    </row>
    <row r="17" spans="1:30" s="4" customFormat="1" ht="15" customHeight="1" x14ac:dyDescent="0.25">
      <c r="A17" s="19">
        <v>19</v>
      </c>
      <c r="B17" s="5"/>
      <c r="C17" s="7">
        <f>Tournament!D17</f>
        <v>5</v>
      </c>
      <c r="D17" s="7" t="str">
        <f>Tournament!E17</f>
        <v>D</v>
      </c>
      <c r="E17" s="22">
        <f>Tournament!F17</f>
        <v>42266</v>
      </c>
      <c r="F17" s="77">
        <f>Tournament!G17</f>
        <v>0.83333333333333337</v>
      </c>
      <c r="G17" s="23" t="str">
        <f>Tournament!H17</f>
        <v>France</v>
      </c>
      <c r="H17" s="9"/>
      <c r="I17" s="9"/>
      <c r="J17" s="9"/>
      <c r="K17" s="6" t="str">
        <f>Tournament!N17</f>
        <v>Italy</v>
      </c>
      <c r="L17" s="9"/>
      <c r="M17" s="9"/>
      <c r="N17" s="9"/>
      <c r="O17" s="24"/>
      <c r="P17" s="24"/>
      <c r="Q17" s="24"/>
      <c r="R17" s="24"/>
      <c r="S17" s="8"/>
      <c r="U17" s="18"/>
      <c r="V17" s="23" t="str">
        <f t="shared" si="1"/>
        <v>France</v>
      </c>
      <c r="W17" s="9"/>
      <c r="X17" s="9"/>
      <c r="Y17" s="9"/>
      <c r="Z17" s="6" t="str">
        <f t="shared" si="2"/>
        <v>Italy</v>
      </c>
      <c r="AA17" s="9"/>
      <c r="AB17" s="9"/>
      <c r="AC17" s="9"/>
      <c r="AD17" s="34" t="e">
        <f>IF(#REF!=Pool1,1,0)</f>
        <v>#REF!</v>
      </c>
    </row>
    <row r="18" spans="1:30" s="4" customFormat="1" ht="15" customHeight="1" x14ac:dyDescent="0.25">
      <c r="A18" s="19">
        <v>20</v>
      </c>
      <c r="B18" s="5"/>
      <c r="C18" s="7">
        <f>Tournament!D18</f>
        <v>6</v>
      </c>
      <c r="D18" s="7" t="str">
        <f>Tournament!E18</f>
        <v>B</v>
      </c>
      <c r="E18" s="22">
        <f>Tournament!F18</f>
        <v>42267</v>
      </c>
      <c r="F18" s="77">
        <f>Tournament!G18</f>
        <v>0.5</v>
      </c>
      <c r="G18" s="23" t="str">
        <f>Tournament!H18</f>
        <v>Samoa</v>
      </c>
      <c r="H18" s="9"/>
      <c r="I18" s="9"/>
      <c r="J18" s="9"/>
      <c r="K18" s="6" t="str">
        <f>Tournament!N18</f>
        <v>USA</v>
      </c>
      <c r="L18" s="9"/>
      <c r="M18" s="9"/>
      <c r="N18" s="9"/>
      <c r="O18" s="24"/>
      <c r="P18" s="24"/>
      <c r="Q18" s="24"/>
      <c r="R18" s="24"/>
      <c r="S18" s="8"/>
      <c r="U18" s="18"/>
      <c r="V18" s="23" t="str">
        <f t="shared" si="1"/>
        <v>Samoa</v>
      </c>
      <c r="W18" s="9"/>
      <c r="X18" s="9"/>
      <c r="Y18" s="9"/>
      <c r="Z18" s="6" t="str">
        <f t="shared" si="2"/>
        <v>USA</v>
      </c>
      <c r="AA18" s="9"/>
      <c r="AB18" s="9"/>
      <c r="AC18" s="9"/>
      <c r="AD18" s="34" t="e">
        <f>IF(#REF!=Pool1,1,0)</f>
        <v>#REF!</v>
      </c>
    </row>
    <row r="19" spans="1:30" s="4" customFormat="1" ht="15" customHeight="1" x14ac:dyDescent="0.25">
      <c r="A19" s="19">
        <v>21</v>
      </c>
      <c r="B19" s="5"/>
      <c r="C19" s="7">
        <f>Tournament!D19</f>
        <v>7</v>
      </c>
      <c r="D19" s="7" t="str">
        <f>Tournament!E19</f>
        <v>A</v>
      </c>
      <c r="E19" s="22">
        <f>Tournament!F19</f>
        <v>42267</v>
      </c>
      <c r="F19" s="77">
        <f>Tournament!G19</f>
        <v>0.60416666666666663</v>
      </c>
      <c r="G19" s="23" t="str">
        <f>Tournament!H19</f>
        <v>Wales</v>
      </c>
      <c r="H19" s="9"/>
      <c r="I19" s="9"/>
      <c r="J19" s="9"/>
      <c r="K19" s="6" t="str">
        <f>Tournament!N19</f>
        <v>Uruguay</v>
      </c>
      <c r="L19" s="9"/>
      <c r="M19" s="9"/>
      <c r="N19" s="9"/>
      <c r="O19" s="24"/>
      <c r="P19" s="24"/>
      <c r="Q19" s="24"/>
      <c r="R19" s="24"/>
      <c r="S19" s="8"/>
      <c r="U19" s="18"/>
      <c r="V19" s="23" t="str">
        <f t="shared" si="1"/>
        <v>Wales</v>
      </c>
      <c r="W19" s="9"/>
      <c r="X19" s="9"/>
      <c r="Y19" s="9"/>
      <c r="Z19" s="6" t="str">
        <f t="shared" si="2"/>
        <v>Uruguay</v>
      </c>
      <c r="AA19" s="9"/>
      <c r="AB19" s="9"/>
      <c r="AC19" s="9"/>
      <c r="AD19" s="34" t="e">
        <f>IF(#REF!=Pool1,1,0)</f>
        <v>#REF!</v>
      </c>
    </row>
    <row r="20" spans="1:30" s="4" customFormat="1" ht="15" customHeight="1" x14ac:dyDescent="0.25">
      <c r="A20" s="19">
        <v>22</v>
      </c>
      <c r="B20" s="5"/>
      <c r="C20" s="7">
        <f>Tournament!D20</f>
        <v>8</v>
      </c>
      <c r="D20" s="7" t="str">
        <f>Tournament!E20</f>
        <v>C</v>
      </c>
      <c r="E20" s="22">
        <f>Tournament!F20</f>
        <v>42267</v>
      </c>
      <c r="F20" s="77">
        <f>Tournament!G20</f>
        <v>0.69791666666666663</v>
      </c>
      <c r="G20" s="23" t="str">
        <f>Tournament!H20</f>
        <v>New Zealand</v>
      </c>
      <c r="H20" s="9"/>
      <c r="I20" s="9"/>
      <c r="J20" s="9"/>
      <c r="K20" s="6" t="str">
        <f>Tournament!N20</f>
        <v>Argentina</v>
      </c>
      <c r="L20" s="9"/>
      <c r="M20" s="9"/>
      <c r="N20" s="9"/>
      <c r="O20" s="24"/>
      <c r="P20" s="24"/>
      <c r="Q20" s="24"/>
      <c r="R20" s="24"/>
      <c r="S20" s="8"/>
      <c r="U20" s="18"/>
      <c r="V20" s="23" t="str">
        <f t="shared" si="1"/>
        <v>New Zealand</v>
      </c>
      <c r="W20" s="9"/>
      <c r="X20" s="9"/>
      <c r="Y20" s="9"/>
      <c r="Z20" s="6" t="str">
        <f t="shared" si="2"/>
        <v>Argentina</v>
      </c>
      <c r="AA20" s="9"/>
      <c r="AB20" s="9"/>
      <c r="AC20" s="9"/>
      <c r="AD20" s="34" t="e">
        <f>IF(#REF!=Pool1,1,0)</f>
        <v>#REF!</v>
      </c>
    </row>
    <row r="21" spans="1:30" s="4" customFormat="1" ht="15" customHeight="1" x14ac:dyDescent="0.25">
      <c r="A21" s="19">
        <v>23</v>
      </c>
      <c r="B21" s="5"/>
      <c r="C21" s="7">
        <f>Tournament!D21</f>
        <v>9</v>
      </c>
      <c r="D21" s="7" t="str">
        <f>Tournament!E21</f>
        <v>B</v>
      </c>
      <c r="E21" s="22">
        <f>Tournament!F21</f>
        <v>42270</v>
      </c>
      <c r="F21" s="77">
        <f>Tournament!G21</f>
        <v>0.60416666666666663</v>
      </c>
      <c r="G21" s="23" t="str">
        <f>Tournament!H21</f>
        <v>Scotland</v>
      </c>
      <c r="H21" s="9"/>
      <c r="I21" s="9"/>
      <c r="J21" s="9"/>
      <c r="K21" s="6" t="str">
        <f>Tournament!N21</f>
        <v>Japan</v>
      </c>
      <c r="L21" s="9"/>
      <c r="M21" s="9"/>
      <c r="N21" s="9"/>
      <c r="O21" s="24"/>
      <c r="P21" s="24"/>
      <c r="Q21" s="24"/>
      <c r="R21" s="24"/>
      <c r="S21" s="8"/>
      <c r="U21" s="18"/>
      <c r="V21" s="23" t="str">
        <f t="shared" si="1"/>
        <v>Scotland</v>
      </c>
      <c r="W21" s="9"/>
      <c r="X21" s="9"/>
      <c r="Y21" s="9"/>
      <c r="Z21" s="6" t="str">
        <f t="shared" si="2"/>
        <v>Japan</v>
      </c>
      <c r="AA21" s="9"/>
      <c r="AB21" s="9"/>
      <c r="AC21" s="9"/>
      <c r="AD21" s="34" t="e">
        <f>IF(#REF!=Pool1,1,0)</f>
        <v>#REF!</v>
      </c>
    </row>
    <row r="22" spans="1:30" s="4" customFormat="1" ht="15" customHeight="1" x14ac:dyDescent="0.25">
      <c r="A22" s="19">
        <v>24</v>
      </c>
      <c r="B22" s="5"/>
      <c r="C22" s="7">
        <f>Tournament!D22</f>
        <v>10</v>
      </c>
      <c r="D22" s="7" t="str">
        <f>Tournament!E22</f>
        <v>A</v>
      </c>
      <c r="E22" s="22">
        <f>Tournament!F22</f>
        <v>42270</v>
      </c>
      <c r="F22" s="77">
        <f>Tournament!G22</f>
        <v>0.69791666666666663</v>
      </c>
      <c r="G22" s="23" t="str">
        <f>Tournament!H22</f>
        <v>Australia</v>
      </c>
      <c r="H22" s="9"/>
      <c r="I22" s="9"/>
      <c r="J22" s="9"/>
      <c r="K22" s="6" t="str">
        <f>Tournament!N22</f>
        <v>Fiji</v>
      </c>
      <c r="L22" s="9"/>
      <c r="M22" s="9"/>
      <c r="N22" s="9"/>
      <c r="O22" s="24"/>
      <c r="P22" s="24"/>
      <c r="Q22" s="24"/>
      <c r="R22" s="24"/>
      <c r="S22" s="8"/>
      <c r="U22" s="18"/>
      <c r="V22" s="23" t="str">
        <f t="shared" si="1"/>
        <v>Australia</v>
      </c>
      <c r="W22" s="9"/>
      <c r="X22" s="9"/>
      <c r="Y22" s="9"/>
      <c r="Z22" s="6" t="str">
        <f t="shared" si="2"/>
        <v>Fiji</v>
      </c>
      <c r="AA22" s="9"/>
      <c r="AB22" s="9"/>
      <c r="AC22" s="9"/>
      <c r="AD22" s="34" t="e">
        <f>IF(#REF!=Pool1,1,0)</f>
        <v>#REF!</v>
      </c>
    </row>
    <row r="23" spans="1:30" s="4" customFormat="1" ht="15" customHeight="1" x14ac:dyDescent="0.25">
      <c r="A23" s="19">
        <v>25</v>
      </c>
      <c r="B23" s="5"/>
      <c r="C23" s="7">
        <f>Tournament!D23</f>
        <v>11</v>
      </c>
      <c r="D23" s="7" t="str">
        <f>Tournament!E23</f>
        <v>D</v>
      </c>
      <c r="E23" s="22">
        <f>Tournament!F23</f>
        <v>42270</v>
      </c>
      <c r="F23" s="77">
        <f>Tournament!G23</f>
        <v>0.83333333333333337</v>
      </c>
      <c r="G23" s="23" t="str">
        <f>Tournament!H23</f>
        <v>France</v>
      </c>
      <c r="H23" s="9"/>
      <c r="I23" s="9"/>
      <c r="J23" s="9"/>
      <c r="K23" s="6" t="str">
        <f>Tournament!N23</f>
        <v>Romania</v>
      </c>
      <c r="L23" s="9"/>
      <c r="M23" s="9"/>
      <c r="N23" s="9"/>
      <c r="O23" s="24"/>
      <c r="P23" s="24"/>
      <c r="Q23" s="24"/>
      <c r="R23" s="24"/>
      <c r="S23" s="8"/>
      <c r="U23" s="18"/>
      <c r="V23" s="23" t="str">
        <f t="shared" si="1"/>
        <v>France</v>
      </c>
      <c r="W23" s="9"/>
      <c r="X23" s="9"/>
      <c r="Y23" s="9"/>
      <c r="Z23" s="6" t="str">
        <f t="shared" si="2"/>
        <v>Romania</v>
      </c>
      <c r="AA23" s="9"/>
      <c r="AB23" s="9"/>
      <c r="AC23" s="9"/>
      <c r="AD23" s="34" t="e">
        <f>IF(#REF!=Pool1,1,0)</f>
        <v>#REF!</v>
      </c>
    </row>
    <row r="24" spans="1:30" s="4" customFormat="1" ht="15" customHeight="1" x14ac:dyDescent="0.25">
      <c r="A24" s="19">
        <v>26</v>
      </c>
      <c r="B24" s="5"/>
      <c r="C24" s="7">
        <f>Tournament!D24</f>
        <v>12</v>
      </c>
      <c r="D24" s="7" t="str">
        <f>Tournament!E24</f>
        <v>C</v>
      </c>
      <c r="E24" s="22">
        <f>Tournament!F24</f>
        <v>42271</v>
      </c>
      <c r="F24" s="77">
        <f>Tournament!G24</f>
        <v>0.83333333333333337</v>
      </c>
      <c r="G24" s="23" t="str">
        <f>Tournament!H24</f>
        <v>New Zealand</v>
      </c>
      <c r="H24" s="9"/>
      <c r="I24" s="9"/>
      <c r="J24" s="9"/>
      <c r="K24" s="6" t="str">
        <f>Tournament!N24</f>
        <v>Namibia</v>
      </c>
      <c r="L24" s="9"/>
      <c r="M24" s="9"/>
      <c r="N24" s="9"/>
      <c r="O24" s="24"/>
      <c r="P24" s="24"/>
      <c r="Q24" s="24"/>
      <c r="R24" s="24"/>
      <c r="S24" s="8"/>
      <c r="U24" s="18"/>
      <c r="V24" s="23" t="str">
        <f t="shared" si="1"/>
        <v>New Zealand</v>
      </c>
      <c r="W24" s="9"/>
      <c r="X24" s="9"/>
      <c r="Y24" s="9"/>
      <c r="Z24" s="6" t="str">
        <f t="shared" si="2"/>
        <v>Namibia</v>
      </c>
      <c r="AA24" s="9"/>
      <c r="AB24" s="9"/>
      <c r="AC24" s="9"/>
      <c r="AD24" s="34" t="e">
        <f>IF(#REF!=Pool1,1,0)</f>
        <v>#REF!</v>
      </c>
    </row>
    <row r="25" spans="1:30" s="4" customFormat="1" ht="15" customHeight="1" x14ac:dyDescent="0.25">
      <c r="A25" s="19">
        <v>27</v>
      </c>
      <c r="B25" s="5"/>
      <c r="C25" s="7">
        <f>Tournament!D25</f>
        <v>13</v>
      </c>
      <c r="D25" s="7" t="str">
        <f>Tournament!E25</f>
        <v>C</v>
      </c>
      <c r="E25" s="22">
        <f>Tournament!F25</f>
        <v>42272</v>
      </c>
      <c r="F25" s="77">
        <f>Tournament!G25</f>
        <v>0.69791666666666663</v>
      </c>
      <c r="G25" s="23" t="str">
        <f>Tournament!H25</f>
        <v>Argentina</v>
      </c>
      <c r="H25" s="9"/>
      <c r="I25" s="9"/>
      <c r="J25" s="9"/>
      <c r="K25" s="6" t="str">
        <f>Tournament!N25</f>
        <v>Georgia</v>
      </c>
      <c r="L25" s="9"/>
      <c r="M25" s="9"/>
      <c r="N25" s="9"/>
      <c r="O25" s="24"/>
      <c r="P25" s="24"/>
      <c r="Q25" s="24"/>
      <c r="R25" s="24"/>
      <c r="S25" s="8"/>
      <c r="U25" s="18"/>
      <c r="V25" s="23" t="str">
        <f t="shared" si="1"/>
        <v>Argentina</v>
      </c>
      <c r="W25" s="9"/>
      <c r="X25" s="9"/>
      <c r="Y25" s="9"/>
      <c r="Z25" s="6" t="str">
        <f t="shared" si="2"/>
        <v>Georgia</v>
      </c>
      <c r="AA25" s="9"/>
      <c r="AB25" s="9"/>
      <c r="AC25" s="9"/>
      <c r="AD25" s="34" t="e">
        <f>IF(#REF!=Pool1,1,0)</f>
        <v>#REF!</v>
      </c>
    </row>
    <row r="26" spans="1:30" s="4" customFormat="1" ht="15" customHeight="1" x14ac:dyDescent="0.25">
      <c r="A26" s="19">
        <v>28</v>
      </c>
      <c r="B26" s="5"/>
      <c r="C26" s="7">
        <f>Tournament!D26</f>
        <v>14</v>
      </c>
      <c r="D26" s="7" t="str">
        <f>Tournament!E26</f>
        <v>D</v>
      </c>
      <c r="E26" s="22">
        <f>Tournament!F26</f>
        <v>42273</v>
      </c>
      <c r="F26" s="77">
        <f>Tournament!G26</f>
        <v>0.60416666666666663</v>
      </c>
      <c r="G26" s="23" t="str">
        <f>Tournament!H26</f>
        <v>Italy</v>
      </c>
      <c r="H26" s="9"/>
      <c r="I26" s="9"/>
      <c r="J26" s="9"/>
      <c r="K26" s="6" t="str">
        <f>Tournament!N26</f>
        <v>Canada</v>
      </c>
      <c r="L26" s="9"/>
      <c r="M26" s="9"/>
      <c r="N26" s="9"/>
      <c r="O26" s="24"/>
      <c r="P26" s="24"/>
      <c r="Q26" s="24"/>
      <c r="R26" s="24"/>
      <c r="S26" s="8"/>
      <c r="U26" s="18"/>
      <c r="V26" s="23" t="str">
        <f t="shared" si="1"/>
        <v>Italy</v>
      </c>
      <c r="W26" s="9"/>
      <c r="X26" s="9"/>
      <c r="Y26" s="9"/>
      <c r="Z26" s="6" t="str">
        <f t="shared" si="2"/>
        <v>Canada</v>
      </c>
      <c r="AA26" s="9"/>
      <c r="AB26" s="9"/>
      <c r="AC26" s="9"/>
      <c r="AD26" s="34" t="e">
        <f>IF(#REF!=Pool1,1,0)</f>
        <v>#REF!</v>
      </c>
    </row>
    <row r="27" spans="1:30" s="4" customFormat="1" ht="15" customHeight="1" x14ac:dyDescent="0.25">
      <c r="A27" s="19">
        <v>29</v>
      </c>
      <c r="B27" s="5"/>
      <c r="C27" s="7">
        <f>Tournament!D27</f>
        <v>15</v>
      </c>
      <c r="D27" s="7" t="str">
        <f>Tournament!E27</f>
        <v>B</v>
      </c>
      <c r="E27" s="22">
        <f>Tournament!F27</f>
        <v>42273</v>
      </c>
      <c r="F27" s="77">
        <f>Tournament!G27</f>
        <v>0.69791666666666663</v>
      </c>
      <c r="G27" s="23" t="str">
        <f>Tournament!H27</f>
        <v>South Africa</v>
      </c>
      <c r="H27" s="9"/>
      <c r="I27" s="9"/>
      <c r="J27" s="9"/>
      <c r="K27" s="6" t="str">
        <f>Tournament!N27</f>
        <v>Samoa</v>
      </c>
      <c r="L27" s="9"/>
      <c r="M27" s="9"/>
      <c r="N27" s="9"/>
      <c r="O27" s="24"/>
      <c r="P27" s="24"/>
      <c r="Q27" s="24"/>
      <c r="R27" s="24"/>
      <c r="S27" s="8"/>
      <c r="U27" s="18"/>
      <c r="V27" s="23" t="str">
        <f t="shared" si="1"/>
        <v>South Africa</v>
      </c>
      <c r="W27" s="9"/>
      <c r="X27" s="9"/>
      <c r="Y27" s="9"/>
      <c r="Z27" s="6" t="str">
        <f t="shared" si="2"/>
        <v>Samoa</v>
      </c>
      <c r="AA27" s="9"/>
      <c r="AB27" s="9"/>
      <c r="AC27" s="9"/>
      <c r="AD27" s="34" t="e">
        <f>IF(#REF!=Pool1,1,0)</f>
        <v>#REF!</v>
      </c>
    </row>
    <row r="28" spans="1:30" s="4" customFormat="1" ht="15" customHeight="1" x14ac:dyDescent="0.25">
      <c r="A28" s="19">
        <v>30</v>
      </c>
      <c r="B28" s="5"/>
      <c r="C28" s="7">
        <f>Tournament!D28</f>
        <v>16</v>
      </c>
      <c r="D28" s="7" t="str">
        <f>Tournament!E28</f>
        <v>A</v>
      </c>
      <c r="E28" s="22">
        <f>Tournament!F28</f>
        <v>42273</v>
      </c>
      <c r="F28" s="77">
        <f>Tournament!G28</f>
        <v>0.83333333333333337</v>
      </c>
      <c r="G28" s="23" t="str">
        <f>Tournament!H28</f>
        <v>England</v>
      </c>
      <c r="H28" s="9"/>
      <c r="I28" s="9"/>
      <c r="J28" s="9"/>
      <c r="K28" s="6" t="str">
        <f>Tournament!N28</f>
        <v>Wales</v>
      </c>
      <c r="L28" s="9"/>
      <c r="M28" s="9"/>
      <c r="N28" s="9"/>
      <c r="O28" s="24"/>
      <c r="P28" s="24"/>
      <c r="Q28" s="24"/>
      <c r="R28" s="24"/>
      <c r="S28" s="8"/>
      <c r="U28" s="18"/>
      <c r="V28" s="23" t="str">
        <f t="shared" si="1"/>
        <v>England</v>
      </c>
      <c r="W28" s="9"/>
      <c r="X28" s="9"/>
      <c r="Y28" s="9"/>
      <c r="Z28" s="6" t="str">
        <f t="shared" si="2"/>
        <v>Wales</v>
      </c>
      <c r="AA28" s="9"/>
      <c r="AB28" s="9"/>
      <c r="AC28" s="9"/>
      <c r="AD28" s="34" t="e">
        <f>IF(#REF!=Pool1,1,0)</f>
        <v>#REF!</v>
      </c>
    </row>
    <row r="29" spans="1:30" s="4" customFormat="1" ht="15" customHeight="1" x14ac:dyDescent="0.25">
      <c r="A29" s="19">
        <v>31</v>
      </c>
      <c r="B29" s="5"/>
      <c r="C29" s="7">
        <f>Tournament!D29</f>
        <v>17</v>
      </c>
      <c r="D29" s="7" t="str">
        <f>Tournament!E29</f>
        <v>A</v>
      </c>
      <c r="E29" s="22">
        <f>Tournament!F29</f>
        <v>42274</v>
      </c>
      <c r="F29" s="77">
        <f>Tournament!G29</f>
        <v>0.5</v>
      </c>
      <c r="G29" s="23" t="str">
        <f>Tournament!H29</f>
        <v>Australia</v>
      </c>
      <c r="H29" s="9"/>
      <c r="I29" s="9"/>
      <c r="J29" s="9"/>
      <c r="K29" s="6" t="str">
        <f>Tournament!N29</f>
        <v>Uruguay</v>
      </c>
      <c r="L29" s="9"/>
      <c r="M29" s="9"/>
      <c r="N29" s="9"/>
      <c r="O29" s="24"/>
      <c r="P29" s="24"/>
      <c r="Q29" s="24"/>
      <c r="R29" s="24"/>
      <c r="S29" s="8"/>
      <c r="U29" s="18"/>
      <c r="V29" s="23" t="str">
        <f t="shared" si="1"/>
        <v>Australia</v>
      </c>
      <c r="W29" s="9"/>
      <c r="X29" s="9"/>
      <c r="Y29" s="9"/>
      <c r="Z29" s="6" t="str">
        <f t="shared" si="2"/>
        <v>Uruguay</v>
      </c>
      <c r="AA29" s="9"/>
      <c r="AB29" s="9"/>
      <c r="AC29" s="9"/>
      <c r="AD29" s="34" t="e">
        <f>IF(#REF!=Pool1,1,0)</f>
        <v>#REF!</v>
      </c>
    </row>
    <row r="30" spans="1:30" s="4" customFormat="1" ht="15" customHeight="1" x14ac:dyDescent="0.25">
      <c r="A30" s="19">
        <v>32</v>
      </c>
      <c r="B30" s="5"/>
      <c r="C30" s="7">
        <f>Tournament!D30</f>
        <v>18</v>
      </c>
      <c r="D30" s="7" t="str">
        <f>Tournament!E30</f>
        <v>B</v>
      </c>
      <c r="E30" s="22">
        <f>Tournament!F30</f>
        <v>42274</v>
      </c>
      <c r="F30" s="77">
        <f>Tournament!G30</f>
        <v>0.60416666666666663</v>
      </c>
      <c r="G30" s="23" t="str">
        <f>Tournament!H30</f>
        <v>Scotland</v>
      </c>
      <c r="H30" s="9"/>
      <c r="I30" s="9"/>
      <c r="J30" s="9"/>
      <c r="K30" s="6" t="str">
        <f>Tournament!N30</f>
        <v>USA</v>
      </c>
      <c r="L30" s="9"/>
      <c r="M30" s="9"/>
      <c r="N30" s="9"/>
      <c r="O30" s="24"/>
      <c r="P30" s="24"/>
      <c r="Q30" s="24"/>
      <c r="R30" s="24"/>
      <c r="S30" s="8"/>
      <c r="U30" s="18"/>
      <c r="V30" s="23" t="str">
        <f t="shared" si="1"/>
        <v>Scotland</v>
      </c>
      <c r="W30" s="9"/>
      <c r="X30" s="9"/>
      <c r="Y30" s="9"/>
      <c r="Z30" s="6" t="str">
        <f t="shared" si="2"/>
        <v>USA</v>
      </c>
      <c r="AA30" s="9"/>
      <c r="AB30" s="9"/>
      <c r="AC30" s="9"/>
      <c r="AD30" s="34" t="e">
        <f>IF(#REF!=Pool1,1,0)</f>
        <v>#REF!</v>
      </c>
    </row>
    <row r="31" spans="1:30" s="4" customFormat="1" ht="15" customHeight="1" x14ac:dyDescent="0.25">
      <c r="A31" s="19">
        <v>33</v>
      </c>
      <c r="B31" s="5"/>
      <c r="C31" s="7">
        <f>Tournament!D31</f>
        <v>19</v>
      </c>
      <c r="D31" s="7" t="str">
        <f>Tournament!E31</f>
        <v>D</v>
      </c>
      <c r="E31" s="22">
        <f>Tournament!F31</f>
        <v>42274</v>
      </c>
      <c r="F31" s="77">
        <f>Tournament!G31</f>
        <v>0.69791666666666663</v>
      </c>
      <c r="G31" s="23" t="str">
        <f>Tournament!H31</f>
        <v>Ireland</v>
      </c>
      <c r="H31" s="9"/>
      <c r="I31" s="9"/>
      <c r="J31" s="9"/>
      <c r="K31" s="6" t="str">
        <f>Tournament!N31</f>
        <v>Romania</v>
      </c>
      <c r="L31" s="9"/>
      <c r="M31" s="9"/>
      <c r="N31" s="9"/>
      <c r="O31" s="24"/>
      <c r="P31" s="24"/>
      <c r="Q31" s="24"/>
      <c r="R31" s="24"/>
      <c r="S31" s="8"/>
      <c r="U31" s="18"/>
      <c r="V31" s="23" t="str">
        <f t="shared" si="1"/>
        <v>Ireland</v>
      </c>
      <c r="W31" s="9"/>
      <c r="X31" s="9"/>
      <c r="Y31" s="9"/>
      <c r="Z31" s="6" t="str">
        <f t="shared" si="2"/>
        <v>Romania</v>
      </c>
      <c r="AA31" s="9"/>
      <c r="AB31" s="9"/>
      <c r="AC31" s="9"/>
      <c r="AD31" s="34" t="e">
        <f>IF(#REF!=Pool1,1,0)</f>
        <v>#REF!</v>
      </c>
    </row>
    <row r="32" spans="1:30" s="4" customFormat="1" ht="15" customHeight="1" x14ac:dyDescent="0.25">
      <c r="A32" s="19">
        <v>34</v>
      </c>
      <c r="B32" s="5"/>
      <c r="C32" s="7">
        <f>Tournament!D32</f>
        <v>20</v>
      </c>
      <c r="D32" s="7" t="str">
        <f>Tournament!E32</f>
        <v>C</v>
      </c>
      <c r="E32" s="22">
        <f>Tournament!F32</f>
        <v>42276</v>
      </c>
      <c r="F32" s="77">
        <f>Tournament!G32</f>
        <v>0.69791666666666663</v>
      </c>
      <c r="G32" s="23" t="str">
        <f>Tournament!H32</f>
        <v>Tonga</v>
      </c>
      <c r="H32" s="9"/>
      <c r="I32" s="9"/>
      <c r="J32" s="9"/>
      <c r="K32" s="6" t="str">
        <f>Tournament!N32</f>
        <v>Namibia</v>
      </c>
      <c r="L32" s="9"/>
      <c r="M32" s="9"/>
      <c r="N32" s="9"/>
      <c r="O32" s="24"/>
      <c r="P32" s="24"/>
      <c r="Q32" s="24"/>
      <c r="R32" s="24"/>
      <c r="S32" s="8"/>
      <c r="U32" s="18"/>
      <c r="V32" s="23" t="str">
        <f t="shared" si="1"/>
        <v>Tonga</v>
      </c>
      <c r="W32" s="9"/>
      <c r="X32" s="9"/>
      <c r="Y32" s="9"/>
      <c r="Z32" s="6" t="str">
        <f t="shared" si="2"/>
        <v>Namibia</v>
      </c>
      <c r="AA32" s="9"/>
      <c r="AB32" s="9"/>
      <c r="AC32" s="9"/>
      <c r="AD32" s="34" t="e">
        <f>IF(#REF!=Pool1,1,0)</f>
        <v>#REF!</v>
      </c>
    </row>
    <row r="33" spans="1:30" s="4" customFormat="1" ht="15" customHeight="1" x14ac:dyDescent="0.25">
      <c r="A33" s="19">
        <v>35</v>
      </c>
      <c r="B33" s="5"/>
      <c r="C33" s="7">
        <f>Tournament!D33</f>
        <v>21</v>
      </c>
      <c r="D33" s="7" t="str">
        <f>Tournament!E33</f>
        <v>A</v>
      </c>
      <c r="E33" s="22">
        <f>Tournament!F33</f>
        <v>42278</v>
      </c>
      <c r="F33" s="77">
        <f>Tournament!G33</f>
        <v>0.69791666666666663</v>
      </c>
      <c r="G33" s="23" t="str">
        <f>Tournament!H33</f>
        <v>Wales</v>
      </c>
      <c r="H33" s="9"/>
      <c r="I33" s="9"/>
      <c r="J33" s="9"/>
      <c r="K33" s="6" t="str">
        <f>Tournament!N33</f>
        <v>Fiji</v>
      </c>
      <c r="L33" s="9"/>
      <c r="M33" s="9"/>
      <c r="N33" s="9"/>
      <c r="O33" s="24"/>
      <c r="P33" s="24"/>
      <c r="Q33" s="24"/>
      <c r="R33" s="24"/>
      <c r="S33" s="8"/>
      <c r="U33" s="18"/>
      <c r="V33" s="23" t="str">
        <f t="shared" si="1"/>
        <v>Wales</v>
      </c>
      <c r="W33" s="9"/>
      <c r="X33" s="9"/>
      <c r="Y33" s="9"/>
      <c r="Z33" s="6" t="str">
        <f t="shared" si="2"/>
        <v>Fiji</v>
      </c>
      <c r="AA33" s="9"/>
      <c r="AB33" s="9"/>
      <c r="AC33" s="9"/>
      <c r="AD33" s="34" t="e">
        <f>IF(#REF!=Pool1,1,0)</f>
        <v>#REF!</v>
      </c>
    </row>
    <row r="34" spans="1:30" s="4" customFormat="1" ht="15" customHeight="1" x14ac:dyDescent="0.25">
      <c r="A34" s="19">
        <v>36</v>
      </c>
      <c r="B34" s="5"/>
      <c r="C34" s="7">
        <f>Tournament!D34</f>
        <v>22</v>
      </c>
      <c r="D34" s="7" t="str">
        <f>Tournament!E34</f>
        <v>D</v>
      </c>
      <c r="E34" s="22">
        <f>Tournament!F34</f>
        <v>42278</v>
      </c>
      <c r="F34" s="77">
        <f>Tournament!G34</f>
        <v>0.83333333333333337</v>
      </c>
      <c r="G34" s="23" t="str">
        <f>Tournament!H34</f>
        <v>France</v>
      </c>
      <c r="H34" s="9"/>
      <c r="I34" s="9"/>
      <c r="J34" s="9"/>
      <c r="K34" s="6" t="str">
        <f>Tournament!N34</f>
        <v>Canada</v>
      </c>
      <c r="L34" s="9"/>
      <c r="M34" s="9"/>
      <c r="N34" s="9"/>
      <c r="O34" s="24"/>
      <c r="P34" s="24"/>
      <c r="Q34" s="24"/>
      <c r="R34" s="24"/>
      <c r="S34" s="8"/>
      <c r="U34" s="18"/>
      <c r="V34" s="23" t="str">
        <f t="shared" si="1"/>
        <v>France</v>
      </c>
      <c r="W34" s="9"/>
      <c r="X34" s="9"/>
      <c r="Y34" s="9"/>
      <c r="Z34" s="6" t="str">
        <f t="shared" si="2"/>
        <v>Canada</v>
      </c>
      <c r="AA34" s="9"/>
      <c r="AB34" s="9"/>
      <c r="AC34" s="9"/>
      <c r="AD34" s="34" t="e">
        <f>IF(#REF!=Pool1,1,0)</f>
        <v>#REF!</v>
      </c>
    </row>
    <row r="35" spans="1:30" s="4" customFormat="1" ht="15" customHeight="1" x14ac:dyDescent="0.25">
      <c r="A35" s="19">
        <v>37</v>
      </c>
      <c r="B35" s="5"/>
      <c r="C35" s="7">
        <f>Tournament!D35</f>
        <v>23</v>
      </c>
      <c r="D35" s="7" t="str">
        <f>Tournament!E35</f>
        <v>C</v>
      </c>
      <c r="E35" s="22">
        <f>Tournament!F35</f>
        <v>42279</v>
      </c>
      <c r="F35" s="77">
        <f>Tournament!G35</f>
        <v>0.83333333333333337</v>
      </c>
      <c r="G35" s="23" t="str">
        <f>Tournament!H35</f>
        <v>New Zealand</v>
      </c>
      <c r="H35" s="9"/>
      <c r="I35" s="9"/>
      <c r="J35" s="9"/>
      <c r="K35" s="6" t="str">
        <f>Tournament!N35</f>
        <v>Georgia</v>
      </c>
      <c r="L35" s="9"/>
      <c r="M35" s="9"/>
      <c r="N35" s="9"/>
      <c r="O35" s="24"/>
      <c r="P35" s="24"/>
      <c r="Q35" s="24"/>
      <c r="R35" s="24"/>
      <c r="S35" s="8"/>
      <c r="U35" s="18"/>
      <c r="V35" s="23" t="str">
        <f t="shared" si="1"/>
        <v>New Zealand</v>
      </c>
      <c r="W35" s="9"/>
      <c r="X35" s="9"/>
      <c r="Y35" s="9"/>
      <c r="Z35" s="6" t="str">
        <f t="shared" si="2"/>
        <v>Georgia</v>
      </c>
      <c r="AA35" s="9"/>
      <c r="AB35" s="9"/>
      <c r="AC35" s="9"/>
      <c r="AD35" s="34" t="e">
        <f>IF(#REF!=Pool1,1,0)</f>
        <v>#REF!</v>
      </c>
    </row>
    <row r="36" spans="1:30" s="4" customFormat="1" ht="15" customHeight="1" x14ac:dyDescent="0.25">
      <c r="A36" s="19">
        <v>38</v>
      </c>
      <c r="B36" s="5"/>
      <c r="C36" s="7">
        <f>Tournament!D36</f>
        <v>24</v>
      </c>
      <c r="D36" s="7" t="str">
        <f>Tournament!E36</f>
        <v>B</v>
      </c>
      <c r="E36" s="22">
        <f>Tournament!F36</f>
        <v>42280</v>
      </c>
      <c r="F36" s="77">
        <f>Tournament!G36</f>
        <v>0.60416666666666663</v>
      </c>
      <c r="G36" s="23" t="str">
        <f>Tournament!H36</f>
        <v>Samoa</v>
      </c>
      <c r="H36" s="9"/>
      <c r="I36" s="9"/>
      <c r="J36" s="9"/>
      <c r="K36" s="6" t="str">
        <f>Tournament!N36</f>
        <v>Japan</v>
      </c>
      <c r="L36" s="9"/>
      <c r="M36" s="9"/>
      <c r="N36" s="9"/>
      <c r="O36" s="24"/>
      <c r="P36" s="24"/>
      <c r="Q36" s="24"/>
      <c r="R36" s="24"/>
      <c r="S36" s="8"/>
      <c r="U36" s="18"/>
      <c r="V36" s="23" t="str">
        <f t="shared" si="1"/>
        <v>Samoa</v>
      </c>
      <c r="W36" s="9"/>
      <c r="X36" s="9"/>
      <c r="Y36" s="9"/>
      <c r="Z36" s="6" t="str">
        <f t="shared" si="2"/>
        <v>Japan</v>
      </c>
      <c r="AA36" s="9"/>
      <c r="AB36" s="9"/>
      <c r="AC36" s="9"/>
      <c r="AD36" s="34" t="e">
        <f>IF(#REF!=Pool1,1,0)</f>
        <v>#REF!</v>
      </c>
    </row>
    <row r="37" spans="1:30" s="4" customFormat="1" ht="15" customHeight="1" x14ac:dyDescent="0.25">
      <c r="A37" s="19">
        <v>39</v>
      </c>
      <c r="B37" s="5"/>
      <c r="C37" s="7">
        <f>Tournament!D37</f>
        <v>25</v>
      </c>
      <c r="D37" s="7" t="str">
        <f>Tournament!E37</f>
        <v>B</v>
      </c>
      <c r="E37" s="22">
        <f>Tournament!F37</f>
        <v>42280</v>
      </c>
      <c r="F37" s="77">
        <f>Tournament!G37</f>
        <v>0.69791666666666663</v>
      </c>
      <c r="G37" s="23" t="str">
        <f>Tournament!H37</f>
        <v>South Africa</v>
      </c>
      <c r="H37" s="9"/>
      <c r="I37" s="9"/>
      <c r="J37" s="9"/>
      <c r="K37" s="6" t="str">
        <f>Tournament!N37</f>
        <v>Scotland</v>
      </c>
      <c r="L37" s="9"/>
      <c r="M37" s="9"/>
      <c r="N37" s="9"/>
      <c r="O37" s="24"/>
      <c r="P37" s="24"/>
      <c r="Q37" s="24"/>
      <c r="R37" s="24"/>
      <c r="S37" s="8"/>
      <c r="U37" s="18"/>
      <c r="V37" s="23" t="str">
        <f t="shared" si="1"/>
        <v>South Africa</v>
      </c>
      <c r="W37" s="9"/>
      <c r="X37" s="9"/>
      <c r="Y37" s="9"/>
      <c r="Z37" s="6" t="str">
        <f t="shared" si="2"/>
        <v>Scotland</v>
      </c>
      <c r="AA37" s="9"/>
      <c r="AB37" s="9"/>
      <c r="AC37" s="9"/>
      <c r="AD37" s="34" t="e">
        <f>IF(#REF!=Pool1,1,0)</f>
        <v>#REF!</v>
      </c>
    </row>
    <row r="38" spans="1:30" s="4" customFormat="1" ht="15" customHeight="1" x14ac:dyDescent="0.25">
      <c r="A38" s="19">
        <v>40</v>
      </c>
      <c r="B38" s="5"/>
      <c r="C38" s="7">
        <f>Tournament!D38</f>
        <v>26</v>
      </c>
      <c r="D38" s="7" t="str">
        <f>Tournament!E38</f>
        <v>A</v>
      </c>
      <c r="E38" s="22">
        <f>Tournament!F38</f>
        <v>42280</v>
      </c>
      <c r="F38" s="77">
        <f>Tournament!G38</f>
        <v>0.83333333333333337</v>
      </c>
      <c r="G38" s="23" t="str">
        <f>Tournament!H38</f>
        <v>England</v>
      </c>
      <c r="H38" s="9"/>
      <c r="I38" s="9"/>
      <c r="J38" s="9"/>
      <c r="K38" s="6" t="str">
        <f>Tournament!N38</f>
        <v>Australia</v>
      </c>
      <c r="L38" s="9"/>
      <c r="M38" s="9"/>
      <c r="N38" s="9"/>
      <c r="O38" s="24"/>
      <c r="P38" s="24"/>
      <c r="Q38" s="24"/>
      <c r="R38" s="24"/>
      <c r="S38" s="8"/>
      <c r="U38" s="18"/>
      <c r="V38" s="23" t="str">
        <f t="shared" si="1"/>
        <v>England</v>
      </c>
      <c r="W38" s="9"/>
      <c r="X38" s="9"/>
      <c r="Y38" s="9"/>
      <c r="Z38" s="6" t="str">
        <f t="shared" si="2"/>
        <v>Australia</v>
      </c>
      <c r="AA38" s="9"/>
      <c r="AB38" s="9"/>
      <c r="AC38" s="9"/>
      <c r="AD38" s="34" t="e">
        <f>IF(#REF!=Pool1,1,0)</f>
        <v>#REF!</v>
      </c>
    </row>
    <row r="39" spans="1:30" s="4" customFormat="1" ht="15" customHeight="1" x14ac:dyDescent="0.25">
      <c r="A39" s="19">
        <v>41</v>
      </c>
      <c r="B39" s="5"/>
      <c r="C39" s="7">
        <f>Tournament!D39</f>
        <v>27</v>
      </c>
      <c r="D39" s="7" t="str">
        <f>Tournament!E39</f>
        <v>C</v>
      </c>
      <c r="E39" s="22">
        <f>Tournament!F39</f>
        <v>42281</v>
      </c>
      <c r="F39" s="77">
        <f>Tournament!G39</f>
        <v>0.60416666666666663</v>
      </c>
      <c r="G39" s="23" t="str">
        <f>Tournament!H39</f>
        <v>Argentina</v>
      </c>
      <c r="H39" s="9"/>
      <c r="I39" s="9"/>
      <c r="J39" s="9"/>
      <c r="K39" s="6" t="str">
        <f>Tournament!N39</f>
        <v>Tonga</v>
      </c>
      <c r="L39" s="9"/>
      <c r="M39" s="9"/>
      <c r="N39" s="9"/>
      <c r="O39" s="24"/>
      <c r="P39" s="24"/>
      <c r="Q39" s="24"/>
      <c r="R39" s="24"/>
      <c r="S39" s="8"/>
      <c r="U39" s="18"/>
      <c r="V39" s="23" t="str">
        <f t="shared" si="1"/>
        <v>Argentina</v>
      </c>
      <c r="W39" s="9"/>
      <c r="X39" s="9"/>
      <c r="Y39" s="9"/>
      <c r="Z39" s="6" t="str">
        <f t="shared" si="2"/>
        <v>Tonga</v>
      </c>
      <c r="AA39" s="9"/>
      <c r="AB39" s="9"/>
      <c r="AC39" s="9"/>
      <c r="AD39" s="34" t="e">
        <f>IF(#REF!=Pool1,1,0)</f>
        <v>#REF!</v>
      </c>
    </row>
    <row r="40" spans="1:30" s="4" customFormat="1" ht="15" customHeight="1" x14ac:dyDescent="0.25">
      <c r="A40" s="19">
        <v>42</v>
      </c>
      <c r="B40" s="5"/>
      <c r="C40" s="7">
        <f>Tournament!D40</f>
        <v>28</v>
      </c>
      <c r="D40" s="7" t="str">
        <f>Tournament!E40</f>
        <v>D</v>
      </c>
      <c r="E40" s="22">
        <f>Tournament!F40</f>
        <v>42281</v>
      </c>
      <c r="F40" s="77">
        <f>Tournament!G40</f>
        <v>0.69791666666666663</v>
      </c>
      <c r="G40" s="23" t="str">
        <f>Tournament!H40</f>
        <v>Ireland</v>
      </c>
      <c r="H40" s="9"/>
      <c r="I40" s="9"/>
      <c r="J40" s="9"/>
      <c r="K40" s="6" t="str">
        <f>Tournament!N40</f>
        <v>Italy</v>
      </c>
      <c r="L40" s="9"/>
      <c r="M40" s="9"/>
      <c r="N40" s="9"/>
      <c r="O40" s="24"/>
      <c r="P40" s="24"/>
      <c r="Q40" s="24"/>
      <c r="R40" s="24"/>
      <c r="S40" s="8"/>
      <c r="U40" s="18"/>
      <c r="V40" s="23" t="str">
        <f t="shared" si="1"/>
        <v>Ireland</v>
      </c>
      <c r="W40" s="9"/>
      <c r="X40" s="9"/>
      <c r="Y40" s="9"/>
      <c r="Z40" s="6" t="str">
        <f t="shared" si="2"/>
        <v>Italy</v>
      </c>
      <c r="AA40" s="9"/>
      <c r="AB40" s="9"/>
      <c r="AC40" s="9"/>
      <c r="AD40" s="34" t="e">
        <f>IF(#REF!=Pool1,1,0)</f>
        <v>#REF!</v>
      </c>
    </row>
    <row r="41" spans="1:30" s="4" customFormat="1" ht="15" customHeight="1" x14ac:dyDescent="0.25">
      <c r="A41" s="19">
        <v>43</v>
      </c>
      <c r="B41" s="5"/>
      <c r="C41" s="7">
        <f>Tournament!D41</f>
        <v>29</v>
      </c>
      <c r="D41" s="7" t="str">
        <f>Tournament!E41</f>
        <v>D</v>
      </c>
      <c r="E41" s="22">
        <f>Tournament!F41</f>
        <v>42283</v>
      </c>
      <c r="F41" s="77">
        <f>Tournament!G41</f>
        <v>0.69791666666666663</v>
      </c>
      <c r="G41" s="23" t="str">
        <f>Tournament!H41</f>
        <v>Canada</v>
      </c>
      <c r="H41" s="9"/>
      <c r="I41" s="9"/>
      <c r="J41" s="9"/>
      <c r="K41" s="6" t="str">
        <f>Tournament!N41</f>
        <v>Romania</v>
      </c>
      <c r="L41" s="9"/>
      <c r="M41" s="9"/>
      <c r="N41" s="9"/>
      <c r="O41" s="24"/>
      <c r="P41" s="24"/>
      <c r="Q41" s="24"/>
      <c r="R41" s="24"/>
      <c r="S41" s="8"/>
      <c r="U41" s="18"/>
      <c r="V41" s="23" t="str">
        <f t="shared" si="1"/>
        <v>Canada</v>
      </c>
      <c r="W41" s="9"/>
      <c r="X41" s="9"/>
      <c r="Y41" s="9"/>
      <c r="Z41" s="6" t="str">
        <f t="shared" si="2"/>
        <v>Romania</v>
      </c>
      <c r="AA41" s="9"/>
      <c r="AB41" s="9"/>
      <c r="AC41" s="9"/>
      <c r="AD41" s="34" t="e">
        <f>IF(#REF!=Pool1,1,0)</f>
        <v>#REF!</v>
      </c>
    </row>
    <row r="42" spans="1:30" s="4" customFormat="1" ht="15" customHeight="1" x14ac:dyDescent="0.25">
      <c r="A42" s="19">
        <v>44</v>
      </c>
      <c r="B42" s="5"/>
      <c r="C42" s="7">
        <f>Tournament!D42</f>
        <v>30</v>
      </c>
      <c r="D42" s="7" t="str">
        <f>Tournament!E42</f>
        <v>A</v>
      </c>
      <c r="E42" s="22">
        <f>Tournament!F42</f>
        <v>42283</v>
      </c>
      <c r="F42" s="77">
        <f>Tournament!G42</f>
        <v>0.83333333333333337</v>
      </c>
      <c r="G42" s="23" t="str">
        <f>Tournament!H42</f>
        <v>Fiji</v>
      </c>
      <c r="H42" s="9"/>
      <c r="I42" s="9"/>
      <c r="J42" s="9"/>
      <c r="K42" s="6" t="str">
        <f>Tournament!N42</f>
        <v>Uruguay</v>
      </c>
      <c r="L42" s="9"/>
      <c r="M42" s="9"/>
      <c r="N42" s="9"/>
      <c r="O42" s="24"/>
      <c r="P42" s="24"/>
      <c r="Q42" s="24"/>
      <c r="R42" s="24"/>
      <c r="S42" s="8"/>
      <c r="U42" s="18"/>
      <c r="V42" s="23" t="str">
        <f t="shared" si="1"/>
        <v>Fiji</v>
      </c>
      <c r="W42" s="9"/>
      <c r="X42" s="9"/>
      <c r="Y42" s="9"/>
      <c r="Z42" s="6" t="str">
        <f t="shared" si="2"/>
        <v>Uruguay</v>
      </c>
      <c r="AA42" s="9"/>
      <c r="AB42" s="9"/>
      <c r="AC42" s="9"/>
      <c r="AD42" s="34" t="e">
        <f>IF(#REF!=Pool1,1,0)</f>
        <v>#REF!</v>
      </c>
    </row>
    <row r="43" spans="1:30" s="4" customFormat="1" ht="15" customHeight="1" x14ac:dyDescent="0.25">
      <c r="A43" s="19">
        <v>45</v>
      </c>
      <c r="B43" s="5"/>
      <c r="C43" s="7">
        <f>Tournament!D43</f>
        <v>31</v>
      </c>
      <c r="D43" s="7" t="str">
        <f>Tournament!E43</f>
        <v>B</v>
      </c>
      <c r="E43" s="22">
        <f>Tournament!F43</f>
        <v>42284</v>
      </c>
      <c r="F43" s="77">
        <f>Tournament!G43</f>
        <v>0.69791666666666663</v>
      </c>
      <c r="G43" s="23" t="str">
        <f>Tournament!H43</f>
        <v>South Africa</v>
      </c>
      <c r="H43" s="9"/>
      <c r="I43" s="9"/>
      <c r="J43" s="9"/>
      <c r="K43" s="6" t="str">
        <f>Tournament!N43</f>
        <v>USA</v>
      </c>
      <c r="L43" s="9"/>
      <c r="M43" s="9"/>
      <c r="N43" s="9"/>
      <c r="O43" s="24"/>
      <c r="P43" s="24"/>
      <c r="Q43" s="24"/>
      <c r="R43" s="24"/>
      <c r="S43" s="8"/>
      <c r="U43" s="18"/>
      <c r="V43" s="23" t="str">
        <f t="shared" si="1"/>
        <v>South Africa</v>
      </c>
      <c r="W43" s="9"/>
      <c r="X43" s="9"/>
      <c r="Y43" s="9"/>
      <c r="Z43" s="6" t="str">
        <f t="shared" si="2"/>
        <v>USA</v>
      </c>
      <c r="AA43" s="9"/>
      <c r="AB43" s="9"/>
      <c r="AC43" s="9"/>
      <c r="AD43" s="34" t="e">
        <f>IF(#REF!=Pool1,1,0)</f>
        <v>#REF!</v>
      </c>
    </row>
    <row r="44" spans="1:30" s="4" customFormat="1" ht="15" customHeight="1" x14ac:dyDescent="0.25">
      <c r="A44" s="19">
        <v>46</v>
      </c>
      <c r="B44" s="5"/>
      <c r="C44" s="7">
        <f>Tournament!D44</f>
        <v>32</v>
      </c>
      <c r="D44" s="7" t="str">
        <f>Tournament!E44</f>
        <v>C</v>
      </c>
      <c r="E44" s="22">
        <f>Tournament!F44</f>
        <v>42284</v>
      </c>
      <c r="F44" s="77">
        <f>Tournament!G44</f>
        <v>0.83333333333333337</v>
      </c>
      <c r="G44" s="23" t="str">
        <f>Tournament!H44</f>
        <v>Namibia</v>
      </c>
      <c r="H44" s="9"/>
      <c r="I44" s="9"/>
      <c r="J44" s="9"/>
      <c r="K44" s="6" t="str">
        <f>Tournament!N44</f>
        <v>Georgia</v>
      </c>
      <c r="L44" s="9"/>
      <c r="M44" s="9"/>
      <c r="N44" s="9"/>
      <c r="O44" s="24"/>
      <c r="P44" s="24"/>
      <c r="Q44" s="24"/>
      <c r="R44" s="24"/>
      <c r="S44" s="8"/>
      <c r="U44" s="18"/>
      <c r="V44" s="23" t="str">
        <f t="shared" si="1"/>
        <v>Namibia</v>
      </c>
      <c r="W44" s="9"/>
      <c r="X44" s="9"/>
      <c r="Y44" s="9"/>
      <c r="Z44" s="6" t="str">
        <f t="shared" si="2"/>
        <v>Georgia</v>
      </c>
      <c r="AA44" s="9"/>
      <c r="AB44" s="9"/>
      <c r="AC44" s="9"/>
      <c r="AD44" s="34" t="e">
        <f>IF(#REF!=Pool1,1,0)</f>
        <v>#REF!</v>
      </c>
    </row>
    <row r="45" spans="1:30" s="4" customFormat="1" ht="15" customHeight="1" x14ac:dyDescent="0.25">
      <c r="A45" s="19">
        <v>47</v>
      </c>
      <c r="B45" s="5"/>
      <c r="C45" s="7">
        <f>Tournament!D45</f>
        <v>33</v>
      </c>
      <c r="D45" s="7" t="str">
        <f>Tournament!E45</f>
        <v>C</v>
      </c>
      <c r="E45" s="22">
        <f>Tournament!F45</f>
        <v>42286</v>
      </c>
      <c r="F45" s="77">
        <f>Tournament!G45</f>
        <v>0.83333333333333337</v>
      </c>
      <c r="G45" s="23" t="str">
        <f>Tournament!H45</f>
        <v>New Zealand</v>
      </c>
      <c r="H45" s="9"/>
      <c r="I45" s="9"/>
      <c r="J45" s="9"/>
      <c r="K45" s="6" t="str">
        <f>Tournament!N45</f>
        <v>Tonga</v>
      </c>
      <c r="L45" s="9"/>
      <c r="M45" s="9"/>
      <c r="N45" s="9"/>
      <c r="O45" s="24"/>
      <c r="P45" s="24"/>
      <c r="Q45" s="24"/>
      <c r="R45" s="24"/>
      <c r="S45" s="8"/>
      <c r="U45" s="18"/>
      <c r="V45" s="23" t="str">
        <f t="shared" si="1"/>
        <v>New Zealand</v>
      </c>
      <c r="W45" s="9"/>
      <c r="X45" s="9"/>
      <c r="Y45" s="9"/>
      <c r="Z45" s="6" t="str">
        <f t="shared" si="2"/>
        <v>Tonga</v>
      </c>
      <c r="AA45" s="9"/>
      <c r="AB45" s="9"/>
      <c r="AC45" s="9"/>
      <c r="AD45" s="34" t="e">
        <f>IF(#REF!=Pool1,1,0)</f>
        <v>#REF!</v>
      </c>
    </row>
    <row r="46" spans="1:30" s="4" customFormat="1" ht="15" customHeight="1" x14ac:dyDescent="0.25">
      <c r="A46" s="19">
        <v>48</v>
      </c>
      <c r="B46" s="5"/>
      <c r="C46" s="7">
        <f>Tournament!D46</f>
        <v>34</v>
      </c>
      <c r="D46" s="7" t="str">
        <f>Tournament!E46</f>
        <v>B</v>
      </c>
      <c r="E46" s="22">
        <f>Tournament!F46</f>
        <v>42287</v>
      </c>
      <c r="F46" s="77">
        <f>Tournament!G46</f>
        <v>0.60416666666666663</v>
      </c>
      <c r="G46" s="23" t="str">
        <f>Tournament!H46</f>
        <v>Samoa</v>
      </c>
      <c r="H46" s="9"/>
      <c r="I46" s="9"/>
      <c r="J46" s="9"/>
      <c r="K46" s="6" t="str">
        <f>Tournament!N46</f>
        <v>Scotland</v>
      </c>
      <c r="L46" s="9"/>
      <c r="M46" s="9"/>
      <c r="N46" s="9"/>
      <c r="O46" s="24"/>
      <c r="P46" s="24"/>
      <c r="Q46" s="24"/>
      <c r="R46" s="24"/>
      <c r="S46" s="8"/>
      <c r="U46" s="18"/>
      <c r="V46" s="23" t="str">
        <f t="shared" si="1"/>
        <v>Samoa</v>
      </c>
      <c r="W46" s="9"/>
      <c r="X46" s="9"/>
      <c r="Y46" s="9"/>
      <c r="Z46" s="6" t="str">
        <f t="shared" si="2"/>
        <v>Scotland</v>
      </c>
      <c r="AA46" s="9"/>
      <c r="AB46" s="9"/>
      <c r="AC46" s="9"/>
      <c r="AD46" s="34" t="e">
        <f>IF(#REF!=Pool1,1,0)</f>
        <v>#REF!</v>
      </c>
    </row>
    <row r="47" spans="1:30" s="4" customFormat="1" ht="15" customHeight="1" x14ac:dyDescent="0.25">
      <c r="A47" s="19">
        <v>49</v>
      </c>
      <c r="B47" s="5"/>
      <c r="C47" s="7">
        <f>Tournament!D47</f>
        <v>35</v>
      </c>
      <c r="D47" s="7" t="str">
        <f>Tournament!E47</f>
        <v>A</v>
      </c>
      <c r="E47" s="22">
        <f>Tournament!F47</f>
        <v>42287</v>
      </c>
      <c r="F47" s="77">
        <f>Tournament!G47</f>
        <v>0.69791666666666663</v>
      </c>
      <c r="G47" s="23" t="str">
        <f>Tournament!H47</f>
        <v>Australia</v>
      </c>
      <c r="H47" s="9"/>
      <c r="I47" s="9"/>
      <c r="J47" s="9"/>
      <c r="K47" s="6" t="str">
        <f>Tournament!N47</f>
        <v>Wales</v>
      </c>
      <c r="L47" s="9"/>
      <c r="M47" s="9"/>
      <c r="N47" s="9"/>
      <c r="O47" s="24"/>
      <c r="P47" s="24"/>
      <c r="Q47" s="24"/>
      <c r="R47" s="24"/>
      <c r="S47" s="8"/>
      <c r="U47" s="18"/>
      <c r="V47" s="23" t="str">
        <f t="shared" si="1"/>
        <v>Australia</v>
      </c>
      <c r="W47" s="9"/>
      <c r="X47" s="9"/>
      <c r="Y47" s="9"/>
      <c r="Z47" s="6" t="str">
        <f t="shared" si="2"/>
        <v>Wales</v>
      </c>
      <c r="AA47" s="9"/>
      <c r="AB47" s="9"/>
      <c r="AC47" s="9"/>
      <c r="AD47" s="34" t="e">
        <f>IF(#REF!=Pool1,1,0)</f>
        <v>#REF!</v>
      </c>
    </row>
    <row r="48" spans="1:30" s="4" customFormat="1" ht="15" customHeight="1" x14ac:dyDescent="0.25">
      <c r="A48" s="19">
        <v>50</v>
      </c>
      <c r="B48" s="5"/>
      <c r="C48" s="7">
        <f>Tournament!D48</f>
        <v>36</v>
      </c>
      <c r="D48" s="7" t="str">
        <f>Tournament!E48</f>
        <v>A</v>
      </c>
      <c r="E48" s="22">
        <f>Tournament!F48</f>
        <v>42287</v>
      </c>
      <c r="F48" s="77">
        <f>Tournament!G48</f>
        <v>0.83333333333333337</v>
      </c>
      <c r="G48" s="23" t="str">
        <f>Tournament!H48</f>
        <v>England</v>
      </c>
      <c r="H48" s="9"/>
      <c r="I48" s="9"/>
      <c r="J48" s="9"/>
      <c r="K48" s="6" t="str">
        <f>Tournament!N48</f>
        <v>Uruguay</v>
      </c>
      <c r="L48" s="9"/>
      <c r="M48" s="9"/>
      <c r="N48" s="9"/>
      <c r="O48" s="24"/>
      <c r="P48" s="24"/>
      <c r="Q48" s="24"/>
      <c r="R48" s="24"/>
      <c r="S48" s="8"/>
      <c r="U48" s="18"/>
      <c r="V48" s="23" t="str">
        <f t="shared" si="1"/>
        <v>England</v>
      </c>
      <c r="W48" s="9"/>
      <c r="X48" s="9"/>
      <c r="Y48" s="9"/>
      <c r="Z48" s="6" t="str">
        <f t="shared" si="2"/>
        <v>Uruguay</v>
      </c>
      <c r="AA48" s="9"/>
      <c r="AB48" s="9"/>
      <c r="AC48" s="9"/>
      <c r="AD48" s="34" t="e">
        <f>IF(#REF!=Pool1,1,0)</f>
        <v>#REF!</v>
      </c>
    </row>
    <row r="49" spans="1:30" s="4" customFormat="1" ht="15" customHeight="1" x14ac:dyDescent="0.25">
      <c r="A49" s="19">
        <v>51</v>
      </c>
      <c r="B49" s="5"/>
      <c r="C49" s="7">
        <f>Tournament!D49</f>
        <v>37</v>
      </c>
      <c r="D49" s="7" t="str">
        <f>Tournament!E49</f>
        <v>C</v>
      </c>
      <c r="E49" s="22">
        <f>Tournament!F49</f>
        <v>42288</v>
      </c>
      <c r="F49" s="77">
        <f>Tournament!G49</f>
        <v>0.5</v>
      </c>
      <c r="G49" s="23" t="str">
        <f>Tournament!H49</f>
        <v>Argentina</v>
      </c>
      <c r="H49" s="9"/>
      <c r="I49" s="9"/>
      <c r="J49" s="9"/>
      <c r="K49" s="6" t="str">
        <f>Tournament!N49</f>
        <v>Namibia</v>
      </c>
      <c r="L49" s="9"/>
      <c r="M49" s="9"/>
      <c r="N49" s="9"/>
      <c r="O49" s="24"/>
      <c r="P49" s="24"/>
      <c r="Q49" s="24"/>
      <c r="R49" s="24"/>
      <c r="S49" s="8"/>
      <c r="U49" s="18"/>
      <c r="V49" s="23" t="str">
        <f t="shared" si="1"/>
        <v>Argentina</v>
      </c>
      <c r="W49" s="9"/>
      <c r="X49" s="9"/>
      <c r="Y49" s="9"/>
      <c r="Z49" s="6" t="str">
        <f t="shared" si="2"/>
        <v>Namibia</v>
      </c>
      <c r="AA49" s="9"/>
      <c r="AB49" s="9"/>
      <c r="AC49" s="9"/>
      <c r="AD49" s="34" t="e">
        <f>IF(#REF!=Pool1,1,0)</f>
        <v>#REF!</v>
      </c>
    </row>
    <row r="50" spans="1:30" s="4" customFormat="1" ht="15" customHeight="1" x14ac:dyDescent="0.25">
      <c r="A50" s="19">
        <v>52</v>
      </c>
      <c r="B50" s="5"/>
      <c r="C50" s="7">
        <f>Tournament!D50</f>
        <v>38</v>
      </c>
      <c r="D50" s="7" t="str">
        <f>Tournament!E50</f>
        <v>D</v>
      </c>
      <c r="E50" s="22">
        <f>Tournament!F50</f>
        <v>42288</v>
      </c>
      <c r="F50" s="77">
        <f>Tournament!G50</f>
        <v>0.60416666666666663</v>
      </c>
      <c r="G50" s="23" t="str">
        <f>Tournament!H50</f>
        <v>Italy</v>
      </c>
      <c r="H50" s="9"/>
      <c r="I50" s="9"/>
      <c r="J50" s="9"/>
      <c r="K50" s="6" t="str">
        <f>Tournament!N50</f>
        <v>Romania</v>
      </c>
      <c r="L50" s="9"/>
      <c r="M50" s="9"/>
      <c r="N50" s="9"/>
      <c r="O50" s="24"/>
      <c r="P50" s="24"/>
      <c r="Q50" s="24"/>
      <c r="R50" s="24"/>
      <c r="S50" s="8"/>
      <c r="U50" s="18"/>
      <c r="V50" s="23" t="str">
        <f t="shared" si="1"/>
        <v>Italy</v>
      </c>
      <c r="W50" s="9"/>
      <c r="X50" s="9"/>
      <c r="Y50" s="9"/>
      <c r="Z50" s="6" t="str">
        <f t="shared" si="2"/>
        <v>Romania</v>
      </c>
      <c r="AA50" s="9"/>
      <c r="AB50" s="9"/>
      <c r="AC50" s="9"/>
      <c r="AD50" s="34" t="e">
        <f>IF(#REF!=Pool1,1,0)</f>
        <v>#REF!</v>
      </c>
    </row>
    <row r="51" spans="1:30" s="4" customFormat="1" ht="15" customHeight="1" x14ac:dyDescent="0.25">
      <c r="A51" s="19">
        <v>53</v>
      </c>
      <c r="B51" s="5"/>
      <c r="C51" s="7">
        <f>Tournament!D51</f>
        <v>39</v>
      </c>
      <c r="D51" s="7" t="str">
        <f>Tournament!E51</f>
        <v>D</v>
      </c>
      <c r="E51" s="22">
        <f>Tournament!F51</f>
        <v>42288</v>
      </c>
      <c r="F51" s="77">
        <f>Tournament!G51</f>
        <v>0.69791666666666663</v>
      </c>
      <c r="G51" s="23" t="str">
        <f>Tournament!H51</f>
        <v>France</v>
      </c>
      <c r="H51" s="9"/>
      <c r="I51" s="9"/>
      <c r="J51" s="9"/>
      <c r="K51" s="6" t="str">
        <f>Tournament!N51</f>
        <v>Ireland</v>
      </c>
      <c r="L51" s="9"/>
      <c r="M51" s="9"/>
      <c r="N51" s="9"/>
      <c r="O51" s="24"/>
      <c r="P51" s="24"/>
      <c r="Q51" s="24"/>
      <c r="R51" s="24"/>
      <c r="S51" s="8"/>
      <c r="U51" s="18"/>
      <c r="V51" s="23" t="str">
        <f t="shared" si="1"/>
        <v>France</v>
      </c>
      <c r="W51" s="9"/>
      <c r="X51" s="9"/>
      <c r="Y51" s="9"/>
      <c r="Z51" s="6" t="str">
        <f t="shared" si="2"/>
        <v>Ireland</v>
      </c>
      <c r="AA51" s="9"/>
      <c r="AB51" s="9"/>
      <c r="AC51" s="9"/>
      <c r="AD51" s="34" t="e">
        <f>IF(#REF!=Pool1,1,0)</f>
        <v>#REF!</v>
      </c>
    </row>
    <row r="52" spans="1:30" s="4" customFormat="1" ht="15" customHeight="1" x14ac:dyDescent="0.25">
      <c r="A52" s="19">
        <v>54</v>
      </c>
      <c r="B52" s="5"/>
      <c r="C52" s="7">
        <f>Tournament!D52</f>
        <v>40</v>
      </c>
      <c r="D52" s="7" t="str">
        <f>Tournament!E52</f>
        <v>B</v>
      </c>
      <c r="E52" s="22">
        <f>Tournament!F52</f>
        <v>42288</v>
      </c>
      <c r="F52" s="77">
        <f>Tournament!G52</f>
        <v>0.83333333333333337</v>
      </c>
      <c r="G52" s="23" t="str">
        <f>Tournament!H52</f>
        <v>USA</v>
      </c>
      <c r="H52" s="9"/>
      <c r="I52" s="9"/>
      <c r="J52" s="9"/>
      <c r="K52" s="6" t="str">
        <f>Tournament!N52</f>
        <v>Japan</v>
      </c>
      <c r="L52" s="9"/>
      <c r="M52" s="9"/>
      <c r="N52" s="9"/>
      <c r="O52" s="24"/>
      <c r="P52" s="24"/>
      <c r="Q52" s="24"/>
      <c r="R52" s="24"/>
      <c r="S52" s="8"/>
      <c r="U52" s="18"/>
      <c r="V52" s="23" t="str">
        <f t="shared" si="1"/>
        <v>USA</v>
      </c>
      <c r="W52" s="9"/>
      <c r="X52" s="9"/>
      <c r="Y52" s="9"/>
      <c r="Z52" s="6" t="str">
        <f t="shared" si="2"/>
        <v>Japan</v>
      </c>
      <c r="AA52" s="9"/>
      <c r="AB52" s="9"/>
      <c r="AC52" s="9"/>
      <c r="AD52" s="34" t="e">
        <f>IF(#REF!=Pool1,1,0)</f>
        <v>#REF!</v>
      </c>
    </row>
    <row r="53" spans="1:30" s="4" customFormat="1" ht="15" customHeight="1" x14ac:dyDescent="0.25">
      <c r="A53" s="19"/>
      <c r="B53" s="5"/>
      <c r="C53" s="7"/>
      <c r="D53" s="7"/>
      <c r="E53" s="22"/>
      <c r="F53" s="77"/>
      <c r="G53" s="23"/>
      <c r="H53" s="24"/>
      <c r="I53" s="24"/>
      <c r="J53" s="24"/>
      <c r="K53" s="6"/>
      <c r="S53" s="8"/>
      <c r="U53" s="18"/>
      <c r="V53" s="16"/>
      <c r="W53" s="9"/>
      <c r="X53" s="9"/>
      <c r="Y53" s="9"/>
      <c r="Z53" s="16"/>
      <c r="AA53" s="16"/>
      <c r="AB53" s="16"/>
      <c r="AC53" s="16"/>
      <c r="AD53" s="35" t="e">
        <f>SUM(#REF!)</f>
        <v>#REF!</v>
      </c>
    </row>
    <row r="54" spans="1:30" s="4" customFormat="1" ht="15" customHeight="1" x14ac:dyDescent="0.25">
      <c r="A54" s="19"/>
      <c r="B54" s="80"/>
      <c r="C54" s="10"/>
      <c r="D54" s="10"/>
      <c r="E54" s="10"/>
      <c r="F54" s="41"/>
      <c r="G54" s="100" t="s">
        <v>80</v>
      </c>
      <c r="H54" s="100"/>
      <c r="I54" s="100"/>
      <c r="J54" s="100"/>
      <c r="K54" s="100"/>
      <c r="L54" s="100"/>
      <c r="M54" s="100"/>
      <c r="N54" s="100"/>
      <c r="O54" s="100"/>
      <c r="P54" s="100"/>
      <c r="Q54" s="100"/>
      <c r="R54" s="100"/>
      <c r="S54" s="100"/>
      <c r="T54" s="100"/>
      <c r="U54" s="100"/>
      <c r="V54" s="100"/>
      <c r="W54" s="100"/>
      <c r="X54" s="100"/>
      <c r="Y54" s="100"/>
      <c r="Z54" s="100"/>
      <c r="AA54" s="100"/>
      <c r="AB54" s="100"/>
      <c r="AC54" s="100"/>
      <c r="AD54" s="101"/>
    </row>
    <row r="55" spans="1:30" s="4" customFormat="1" ht="15" customHeight="1" x14ac:dyDescent="0.25">
      <c r="A55" s="19"/>
      <c r="B55" s="5"/>
      <c r="C55" s="6"/>
      <c r="D55" s="6"/>
      <c r="E55" s="6"/>
      <c r="F55" s="8"/>
      <c r="G55" s="106" t="s">
        <v>90</v>
      </c>
      <c r="H55" s="106"/>
      <c r="I55" s="106"/>
      <c r="J55" s="106"/>
      <c r="K55" s="106"/>
      <c r="L55" s="106"/>
      <c r="M55" s="106"/>
      <c r="N55" s="106"/>
      <c r="O55" s="106"/>
      <c r="P55" s="106"/>
      <c r="Q55" s="106"/>
      <c r="R55" s="106"/>
      <c r="S55" s="106"/>
      <c r="U55" s="107" t="s">
        <v>89</v>
      </c>
      <c r="V55" s="107"/>
      <c r="W55" s="107"/>
      <c r="X55" s="107"/>
      <c r="Y55" s="107"/>
      <c r="Z55" s="107"/>
      <c r="AA55" s="107"/>
      <c r="AB55" s="107"/>
      <c r="AC55" s="107"/>
      <c r="AD55" s="108"/>
    </row>
    <row r="56" spans="1:30" s="4" customFormat="1" ht="15" customHeight="1" x14ac:dyDescent="0.25">
      <c r="A56" s="19"/>
      <c r="B56" s="5"/>
      <c r="C56" s="6"/>
      <c r="D56" s="6"/>
      <c r="E56" s="6"/>
      <c r="F56" s="8"/>
      <c r="S56" s="8"/>
      <c r="U56" s="5"/>
      <c r="V56" s="6"/>
      <c r="W56" s="24"/>
      <c r="X56" s="24"/>
      <c r="Y56" s="24"/>
      <c r="Z56" s="6"/>
      <c r="AA56" s="6"/>
      <c r="AB56" s="6"/>
      <c r="AC56" s="6"/>
      <c r="AD56" s="28"/>
    </row>
    <row r="57" spans="1:30" s="4" customFormat="1" ht="15" customHeight="1" x14ac:dyDescent="0.25">
      <c r="A57" s="19"/>
      <c r="B57" s="5"/>
      <c r="C57" s="6"/>
      <c r="D57" s="6"/>
      <c r="E57" s="6"/>
      <c r="F57" s="8"/>
      <c r="G57" s="78" t="s">
        <v>82</v>
      </c>
      <c r="H57" s="109" t="s">
        <v>8</v>
      </c>
      <c r="I57" s="110"/>
      <c r="J57" s="111"/>
      <c r="K57" s="25" t="s">
        <v>83</v>
      </c>
      <c r="S57" s="8"/>
      <c r="U57" s="5"/>
      <c r="V57" s="25" t="s">
        <v>82</v>
      </c>
      <c r="W57" s="109" t="s">
        <v>8</v>
      </c>
      <c r="X57" s="110"/>
      <c r="Y57" s="111"/>
      <c r="Z57" s="25" t="s">
        <v>83</v>
      </c>
      <c r="AA57" s="6"/>
      <c r="AB57" s="6"/>
      <c r="AC57" s="6"/>
      <c r="AD57" s="82" t="e">
        <f>SUM(#REF!)</f>
        <v>#REF!</v>
      </c>
    </row>
    <row r="58" spans="1:30" s="4" customFormat="1" ht="15" customHeight="1" x14ac:dyDescent="0.25">
      <c r="A58" s="19"/>
      <c r="B58" s="5"/>
      <c r="C58" s="6"/>
      <c r="D58" s="6"/>
      <c r="E58" s="6"/>
      <c r="F58" s="8"/>
      <c r="G58" s="36" t="str">
        <f>Tournament!AD12</f>
        <v>Uruguay</v>
      </c>
      <c r="H58" s="112" t="s">
        <v>22</v>
      </c>
      <c r="I58" s="113"/>
      <c r="J58" s="114"/>
      <c r="K58" s="26" t="str">
        <f>Tournament!AD13</f>
        <v>Fiji</v>
      </c>
      <c r="S58" s="8"/>
      <c r="U58" s="79">
        <v>0</v>
      </c>
      <c r="V58" s="83" t="str">
        <f ca="1">VLOOKUP(1,OFFSET('Dummy Table'!$EH$4:$EI$8,0,U58),2,FALSE)</f>
        <v>Uruguay</v>
      </c>
      <c r="W58" s="112" t="s">
        <v>22</v>
      </c>
      <c r="X58" s="113"/>
      <c r="Y58" s="114"/>
      <c r="Z58" s="83" t="str">
        <f ca="1">VLOOKUP(2,OFFSET('Dummy Table'!$EH$4:$EI$8,0,U58),2,FALSE)</f>
        <v>Fiji</v>
      </c>
      <c r="AA58" s="6"/>
      <c r="AB58" s="6"/>
      <c r="AC58" s="6"/>
      <c r="AD58" s="28"/>
    </row>
    <row r="59" spans="1:30" s="4" customFormat="1" ht="15" customHeight="1" x14ac:dyDescent="0.25">
      <c r="A59" s="19"/>
      <c r="B59" s="5"/>
      <c r="C59" s="6"/>
      <c r="D59" s="6"/>
      <c r="E59" s="6"/>
      <c r="F59" s="8"/>
      <c r="G59" s="36" t="str">
        <f>Tournament!AD19</f>
        <v>USA</v>
      </c>
      <c r="H59" s="112" t="s">
        <v>9</v>
      </c>
      <c r="I59" s="113"/>
      <c r="J59" s="114"/>
      <c r="K59" s="26" t="str">
        <f>Tournament!AD20</f>
        <v>Japan</v>
      </c>
      <c r="S59" s="8"/>
      <c r="U59" s="79">
        <v>0</v>
      </c>
      <c r="V59" s="83" t="str">
        <f ca="1">VLOOKUP(1,OFFSET('Dummy Table'!$EH$11:$EI$15,0,U59),2,FALSE)</f>
        <v>USA</v>
      </c>
      <c r="W59" s="112" t="s">
        <v>9</v>
      </c>
      <c r="X59" s="113"/>
      <c r="Y59" s="114"/>
      <c r="Z59" s="83" t="str">
        <f ca="1">VLOOKUP(2,OFFSET('Dummy Table'!$EH$11:$EI$15,0,U59),2,FALSE)</f>
        <v>Japan</v>
      </c>
      <c r="AA59" s="6"/>
      <c r="AB59" s="6"/>
      <c r="AC59" s="6"/>
      <c r="AD59" s="28"/>
    </row>
    <row r="60" spans="1:30" s="4" customFormat="1" ht="15" customHeight="1" x14ac:dyDescent="0.25">
      <c r="A60" s="19"/>
      <c r="B60" s="5"/>
      <c r="C60" s="6"/>
      <c r="D60" s="6"/>
      <c r="E60" s="6"/>
      <c r="F60" s="8"/>
      <c r="G60" s="36" t="str">
        <f>Tournament!AD26</f>
        <v>Namibia</v>
      </c>
      <c r="H60" s="112" t="s">
        <v>10</v>
      </c>
      <c r="I60" s="113"/>
      <c r="J60" s="114"/>
      <c r="K60" s="26" t="str">
        <f>Tournament!AD27</f>
        <v>Georgia</v>
      </c>
      <c r="S60" s="8"/>
      <c r="U60" s="79">
        <v>0</v>
      </c>
      <c r="V60" s="83" t="str">
        <f ca="1">VLOOKUP(1,OFFSET('Dummy Table'!$EH$18:$EI$22,0,U60),2,FALSE)</f>
        <v>Namibia</v>
      </c>
      <c r="W60" s="112" t="s">
        <v>10</v>
      </c>
      <c r="X60" s="113"/>
      <c r="Y60" s="114"/>
      <c r="Z60" s="83" t="str">
        <f ca="1">VLOOKUP(2,OFFSET('Dummy Table'!$EH$18:$EI$22,0,U60),2,FALSE)</f>
        <v>Georgia</v>
      </c>
      <c r="AA60" s="6"/>
      <c r="AB60" s="6"/>
      <c r="AC60" s="6"/>
      <c r="AD60" s="28"/>
    </row>
    <row r="61" spans="1:30" s="4" customFormat="1" ht="15" customHeight="1" x14ac:dyDescent="0.25">
      <c r="A61" s="19"/>
      <c r="B61" s="5"/>
      <c r="C61" s="6"/>
      <c r="D61" s="6"/>
      <c r="E61" s="6"/>
      <c r="F61" s="8"/>
      <c r="G61" s="36" t="str">
        <f>Tournament!AD33</f>
        <v>Canada</v>
      </c>
      <c r="H61" s="112" t="s">
        <v>20</v>
      </c>
      <c r="I61" s="113"/>
      <c r="J61" s="114"/>
      <c r="K61" s="26" t="str">
        <f>Tournament!AD34</f>
        <v>Romania</v>
      </c>
      <c r="S61" s="8"/>
      <c r="U61" s="79">
        <v>0</v>
      </c>
      <c r="V61" s="83" t="str">
        <f ca="1">VLOOKUP(1,OFFSET('Dummy Table'!$EH$25:$EI$29,0,U61),2,FALSE)</f>
        <v>Canada</v>
      </c>
      <c r="W61" s="112" t="s">
        <v>20</v>
      </c>
      <c r="X61" s="113"/>
      <c r="Y61" s="114"/>
      <c r="Z61" s="83" t="str">
        <f ca="1">VLOOKUP(2,OFFSET('Dummy Table'!$EH$25:$EI$29,0,U61),2,FALSE)</f>
        <v>Romania</v>
      </c>
      <c r="AA61" s="6"/>
      <c r="AB61" s="6"/>
      <c r="AC61" s="6"/>
      <c r="AD61" s="28"/>
    </row>
    <row r="62" spans="1:30" s="4" customFormat="1" ht="15" customHeight="1" x14ac:dyDescent="0.25">
      <c r="A62" s="19"/>
      <c r="B62" s="5"/>
      <c r="C62" s="6"/>
      <c r="D62" s="6"/>
      <c r="E62" s="6"/>
      <c r="F62" s="8"/>
      <c r="S62" s="8"/>
      <c r="U62" s="5"/>
      <c r="V62" s="6"/>
      <c r="W62" s="24"/>
      <c r="X62" s="24"/>
      <c r="Y62" s="24"/>
      <c r="Z62" s="6"/>
      <c r="AA62" s="6"/>
      <c r="AB62" s="6"/>
      <c r="AC62" s="6"/>
      <c r="AD62" s="28"/>
    </row>
    <row r="63" spans="1:30" s="4" customFormat="1" ht="15" customHeight="1" x14ac:dyDescent="0.25">
      <c r="A63" s="19"/>
      <c r="B63" s="5"/>
      <c r="C63" s="6"/>
      <c r="D63" s="6"/>
      <c r="E63" s="6"/>
      <c r="F63" s="8"/>
      <c r="H63" s="115" t="s">
        <v>12</v>
      </c>
      <c r="I63" s="115"/>
      <c r="J63" s="115"/>
      <c r="L63" s="10"/>
      <c r="M63" s="37"/>
      <c r="N63" s="37"/>
      <c r="O63" s="37"/>
      <c r="P63" s="37"/>
      <c r="Q63" s="37"/>
      <c r="S63" s="8"/>
      <c r="U63" s="5"/>
      <c r="V63" s="6"/>
      <c r="W63" s="24"/>
      <c r="X63" s="24"/>
      <c r="Y63" s="24"/>
      <c r="Z63" s="6"/>
      <c r="AA63" s="6"/>
      <c r="AB63" s="6"/>
      <c r="AC63" s="6"/>
      <c r="AD63" s="28" t="e">
        <f>SUM(AD64:AD71)</f>
        <v>#REF!</v>
      </c>
    </row>
    <row r="64" spans="1:30" s="4" customFormat="1" ht="15" customHeight="1" x14ac:dyDescent="0.25">
      <c r="A64" s="19">
        <v>66</v>
      </c>
      <c r="B64" s="5"/>
      <c r="C64" s="7">
        <v>41</v>
      </c>
      <c r="D64" s="7" t="s">
        <v>75</v>
      </c>
      <c r="E64" s="22">
        <v>42294</v>
      </c>
      <c r="F64" s="77">
        <v>0.66666666666666663</v>
      </c>
      <c r="G64" s="23" t="str">
        <f>Tournament!H58</f>
        <v>Winner Pool B</v>
      </c>
      <c r="H64" s="9"/>
      <c r="I64" s="9"/>
      <c r="J64" s="9"/>
      <c r="K64" s="27" t="str">
        <f>Tournament!H59</f>
        <v>Runner Up Pool A</v>
      </c>
      <c r="L64" s="15"/>
      <c r="M64" s="15"/>
      <c r="N64" s="15"/>
      <c r="O64" s="15"/>
      <c r="P64" s="15"/>
      <c r="Q64" s="15"/>
      <c r="S64" s="28" t="e">
        <f>#REF!</f>
        <v>#REF!</v>
      </c>
      <c r="T64" s="29"/>
      <c r="U64" s="84"/>
      <c r="V64" s="85" t="str">
        <f ca="1">IF(A5=1,$G64,V59)</f>
        <v>USA</v>
      </c>
      <c r="W64" s="9"/>
      <c r="X64" s="9"/>
      <c r="Y64" s="9"/>
      <c r="Z64" s="86" t="str">
        <f ca="1">IF(A5=1,$K64,Z58)</f>
        <v>Fiji</v>
      </c>
      <c r="AA64" s="89"/>
      <c r="AB64" s="89"/>
      <c r="AC64" s="89"/>
      <c r="AD64" s="87" t="e">
        <f>IF(#REF!=Quar1,1,0)</f>
        <v>#REF!</v>
      </c>
    </row>
    <row r="65" spans="1:30" s="4" customFormat="1" ht="15" customHeight="1" x14ac:dyDescent="0.25">
      <c r="A65" s="19">
        <v>67</v>
      </c>
      <c r="B65" s="5"/>
      <c r="C65" s="7">
        <v>42</v>
      </c>
      <c r="D65" s="7" t="s">
        <v>75</v>
      </c>
      <c r="E65" s="22">
        <v>42294</v>
      </c>
      <c r="F65" s="77">
        <v>0.83333333333333337</v>
      </c>
      <c r="G65" s="23" t="str">
        <f>Tournament!H64</f>
        <v>Winner Pool C</v>
      </c>
      <c r="H65" s="9"/>
      <c r="I65" s="9"/>
      <c r="J65" s="9"/>
      <c r="K65" s="27" t="str">
        <f>Tournament!H65</f>
        <v>Runner Up Pool D</v>
      </c>
      <c r="L65" s="15"/>
      <c r="M65" s="15"/>
      <c r="N65" s="15"/>
      <c r="O65" s="15"/>
      <c r="P65" s="15"/>
      <c r="Q65" s="15"/>
      <c r="S65" s="8"/>
      <c r="T65" s="29"/>
      <c r="U65" s="84"/>
      <c r="V65" s="85" t="str">
        <f ca="1">IF(A5=1,$G65,V60)</f>
        <v>Namibia</v>
      </c>
      <c r="W65" s="9"/>
      <c r="X65" s="9"/>
      <c r="Y65" s="9"/>
      <c r="Z65" s="86" t="str">
        <f ca="1">IF(A5=1,$K65,Z61)</f>
        <v>Romania</v>
      </c>
      <c r="AA65" s="89"/>
      <c r="AB65" s="89"/>
      <c r="AC65" s="89"/>
      <c r="AD65" s="87" t="e">
        <f>IF(#REF!=Quar1,1,0)</f>
        <v>#REF!</v>
      </c>
    </row>
    <row r="66" spans="1:30" s="4" customFormat="1" ht="15" customHeight="1" x14ac:dyDescent="0.25">
      <c r="A66" s="19">
        <v>68</v>
      </c>
      <c r="B66" s="5"/>
      <c r="C66" s="7">
        <v>43</v>
      </c>
      <c r="D66" s="7" t="s">
        <v>75</v>
      </c>
      <c r="E66" s="22">
        <v>42295</v>
      </c>
      <c r="F66" s="77">
        <v>0.54166666666666663</v>
      </c>
      <c r="G66" s="23" t="str">
        <f>Tournament!H70</f>
        <v>Winner Pool D</v>
      </c>
      <c r="H66" s="9"/>
      <c r="I66" s="9"/>
      <c r="J66" s="9"/>
      <c r="K66" s="27" t="str">
        <f>Tournament!H71</f>
        <v>Runner Up Pool C</v>
      </c>
      <c r="L66" s="15"/>
      <c r="M66" s="15"/>
      <c r="N66" s="15"/>
      <c r="O66" s="15"/>
      <c r="P66" s="15"/>
      <c r="Q66" s="15"/>
      <c r="S66" s="8"/>
      <c r="T66" s="29"/>
      <c r="U66" s="84"/>
      <c r="V66" s="85" t="str">
        <f ca="1">IF(A5=1,$G66,V61)</f>
        <v>Canada</v>
      </c>
      <c r="W66" s="9"/>
      <c r="X66" s="9"/>
      <c r="Y66" s="9"/>
      <c r="Z66" s="86" t="str">
        <f ca="1">IF(A5=1,$K66,Z60)</f>
        <v>Georgia</v>
      </c>
      <c r="AA66" s="89"/>
      <c r="AB66" s="89"/>
      <c r="AC66" s="89"/>
      <c r="AD66" s="87" t="e">
        <f>IF(#REF!=Quar1,1,0)</f>
        <v>#REF!</v>
      </c>
    </row>
    <row r="67" spans="1:30" s="4" customFormat="1" ht="15" customHeight="1" x14ac:dyDescent="0.25">
      <c r="A67" s="19">
        <v>69</v>
      </c>
      <c r="B67" s="5"/>
      <c r="C67" s="7">
        <v>44</v>
      </c>
      <c r="D67" s="7" t="str">
        <f t="shared" ref="D67" si="3">D66</f>
        <v>QF</v>
      </c>
      <c r="E67" s="22">
        <v>42295</v>
      </c>
      <c r="F67" s="77">
        <v>0.66666666666666663</v>
      </c>
      <c r="G67" s="23" t="str">
        <f>Tournament!H76</f>
        <v>Winner Pool A</v>
      </c>
      <c r="H67" s="9"/>
      <c r="I67" s="9"/>
      <c r="J67" s="9"/>
      <c r="K67" s="27" t="str">
        <f>Tournament!H77</f>
        <v>Runner Up Pool B</v>
      </c>
      <c r="L67" s="15"/>
      <c r="M67" s="15"/>
      <c r="N67" s="15"/>
      <c r="O67" s="15"/>
      <c r="P67" s="15"/>
      <c r="Q67" s="15"/>
      <c r="S67" s="8"/>
      <c r="T67" s="29"/>
      <c r="U67" s="84"/>
      <c r="V67" s="85" t="str">
        <f ca="1">IF(A5=1,$G67,V58)</f>
        <v>Uruguay</v>
      </c>
      <c r="W67" s="9"/>
      <c r="X67" s="9"/>
      <c r="Y67" s="9"/>
      <c r="Z67" s="86" t="str">
        <f ca="1">IF(A5=1,$K67,Z59)</f>
        <v>Japan</v>
      </c>
      <c r="AA67" s="89"/>
      <c r="AB67" s="89"/>
      <c r="AC67" s="89"/>
      <c r="AD67" s="87" t="e">
        <f>IF(#REF!=Quar1,1,0)</f>
        <v>#REF!</v>
      </c>
    </row>
    <row r="68" spans="1:30" s="4" customFormat="1" ht="15" customHeight="1" x14ac:dyDescent="0.25">
      <c r="A68" s="19">
        <v>70</v>
      </c>
      <c r="B68" s="5"/>
      <c r="C68" s="7">
        <v>45</v>
      </c>
      <c r="D68" s="7" t="s">
        <v>76</v>
      </c>
      <c r="E68" s="22">
        <v>42301</v>
      </c>
      <c r="F68" s="77">
        <v>0.66666666666666663</v>
      </c>
      <c r="G68" s="23" t="str">
        <f>Tournament!N61</f>
        <v>Match 41 Winner</v>
      </c>
      <c r="H68" s="9"/>
      <c r="I68" s="9"/>
      <c r="J68" s="9"/>
      <c r="K68" s="27" t="str">
        <f>Tournament!N62</f>
        <v>Match 42 Winner</v>
      </c>
      <c r="L68" s="15"/>
      <c r="M68" s="15"/>
      <c r="N68" s="15"/>
      <c r="O68" s="15"/>
      <c r="P68" s="15"/>
      <c r="Q68" s="15"/>
      <c r="S68" s="8"/>
      <c r="T68" s="29"/>
      <c r="U68" s="84"/>
      <c r="V68" s="85" t="str">
        <f>IF(A5=1,$G68,IF(AND(W64&lt;&gt;"",Y64&lt;&gt;""),IF(W64&gt;Y64,V64,IF(W64&lt;Y64,Z64,AA64)),"Match 41 Winner"))</f>
        <v>Match 41 Winner</v>
      </c>
      <c r="W68" s="9"/>
      <c r="X68" s="9"/>
      <c r="Y68" s="9"/>
      <c r="Z68" s="86" t="str">
        <f>IF(A5=1,$K68,IF(AND(W65&lt;&gt;"",Y65&lt;&gt;""),IF(W65&gt;Y65,V65,IF(W65&lt;Y65,Z65,AA65)),"Match 42 Winner"))</f>
        <v>Match 42 Winner</v>
      </c>
      <c r="AA68" s="89"/>
      <c r="AB68" s="89"/>
      <c r="AC68" s="89"/>
      <c r="AD68" s="87" t="e">
        <f>IF(#REF!=Semi1,1,0)</f>
        <v>#REF!</v>
      </c>
    </row>
    <row r="69" spans="1:30" s="4" customFormat="1" ht="15" customHeight="1" x14ac:dyDescent="0.25">
      <c r="A69" s="19">
        <v>71</v>
      </c>
      <c r="B69" s="5"/>
      <c r="C69" s="7">
        <v>46</v>
      </c>
      <c r="D69" s="7" t="s">
        <v>76</v>
      </c>
      <c r="E69" s="22">
        <v>42302</v>
      </c>
      <c r="F69" s="77">
        <v>0.66666666666666663</v>
      </c>
      <c r="G69" s="23" t="str">
        <f>Tournament!N73</f>
        <v>Match 43 Winner</v>
      </c>
      <c r="H69" s="9"/>
      <c r="I69" s="9"/>
      <c r="J69" s="9"/>
      <c r="K69" s="27" t="str">
        <f>Tournament!N74</f>
        <v>Match 44 Winner</v>
      </c>
      <c r="L69" s="15"/>
      <c r="M69" s="15"/>
      <c r="N69" s="15"/>
      <c r="O69" s="15"/>
      <c r="P69" s="15"/>
      <c r="Q69" s="15"/>
      <c r="S69" s="8"/>
      <c r="T69" s="29"/>
      <c r="U69" s="84"/>
      <c r="V69" s="85" t="str">
        <f>IF(A5=1,$G69,IF(AND(W66&lt;&gt;"",Y66&lt;&gt;""),IF(W66&gt;Y66,V66,IF(W66&lt;Y66,Z66,AA66)),"Match 43 Winner"))</f>
        <v>Match 43 Winner</v>
      </c>
      <c r="W69" s="9"/>
      <c r="X69" s="9"/>
      <c r="Y69" s="9"/>
      <c r="Z69" s="86" t="str">
        <f>IF(A5=1,$K69,IF(AND(W67&lt;&gt;"",Y67&lt;&gt;""),IF(W67&gt;Y67,V67,IF(W67&lt;Y67,Z67,AA67)),"Match 44 Winner"))</f>
        <v>Match 44 Winner</v>
      </c>
      <c r="AA69" s="89"/>
      <c r="AB69" s="89"/>
      <c r="AC69" s="89"/>
      <c r="AD69" s="87" t="e">
        <f>IF(#REF!=Semi1,1,0)</f>
        <v>#REF!</v>
      </c>
    </row>
    <row r="70" spans="1:30" s="4" customFormat="1" ht="15" customHeight="1" x14ac:dyDescent="0.25">
      <c r="A70" s="19">
        <v>72</v>
      </c>
      <c r="B70" s="5"/>
      <c r="C70" s="7">
        <v>47</v>
      </c>
      <c r="D70" s="7" t="s">
        <v>77</v>
      </c>
      <c r="E70" s="22">
        <v>42307</v>
      </c>
      <c r="F70" s="77">
        <v>0.83333333333333337</v>
      </c>
      <c r="G70" s="23" t="str">
        <f>Tournament!S75</f>
        <v>Match 45 Loser</v>
      </c>
      <c r="H70" s="9"/>
      <c r="I70" s="9"/>
      <c r="J70" s="9"/>
      <c r="K70" s="27" t="str">
        <f>Tournament!S76</f>
        <v>Match 46 Loser</v>
      </c>
      <c r="L70" s="15"/>
      <c r="M70" s="15"/>
      <c r="N70" s="15"/>
      <c r="O70" s="15"/>
      <c r="P70" s="15"/>
      <c r="Q70" s="15"/>
      <c r="S70" s="8"/>
      <c r="T70" s="29"/>
      <c r="U70" s="84"/>
      <c r="V70" s="85" t="str">
        <f>IF(A5=1,$G70,IF(AND(W68&lt;&gt;"",Y68&lt;&gt;""),IF(W68&lt;Y68,V68,IF(W68&gt;Y68,Z68,AA68)),"Match 45 Loser"))</f>
        <v>Match 45 Loser</v>
      </c>
      <c r="W70" s="9"/>
      <c r="X70" s="9"/>
      <c r="Y70" s="9"/>
      <c r="Z70" s="86" t="str">
        <f>IF(A5=1,$K70,IF(AND(W69&lt;&gt;"",Y69&lt;&gt;""),IF(W69&lt;Y69,V69,IF(W69&gt;Y69,Z69,AA69)),"Match 46 Loser"))</f>
        <v>Match 46 Loser</v>
      </c>
      <c r="AA70" s="89"/>
      <c r="AB70" s="89"/>
      <c r="AC70" s="89"/>
      <c r="AD70" s="87" t="e">
        <f>IF(#REF!=thir1,1,0)</f>
        <v>#REF!</v>
      </c>
    </row>
    <row r="71" spans="1:30" s="4" customFormat="1" ht="15" customHeight="1" x14ac:dyDescent="0.25">
      <c r="A71" s="19">
        <v>73</v>
      </c>
      <c r="B71" s="5"/>
      <c r="C71" s="7">
        <v>48</v>
      </c>
      <c r="D71" s="7" t="s">
        <v>78</v>
      </c>
      <c r="E71" s="22">
        <v>42308</v>
      </c>
      <c r="F71" s="77">
        <v>0.66666666666666663</v>
      </c>
      <c r="G71" s="23" t="str">
        <f>Tournament!S67</f>
        <v>Match 45 Winner</v>
      </c>
      <c r="H71" s="9"/>
      <c r="I71" s="9"/>
      <c r="J71" s="9"/>
      <c r="K71" s="27" t="str">
        <f>Tournament!S68</f>
        <v>Match 46 Winner</v>
      </c>
      <c r="L71" s="15"/>
      <c r="M71" s="15"/>
      <c r="N71" s="15"/>
      <c r="O71" s="15"/>
      <c r="P71" s="15"/>
      <c r="Q71" s="15"/>
      <c r="S71" s="8"/>
      <c r="T71" s="29"/>
      <c r="U71" s="84"/>
      <c r="V71" s="85" t="str">
        <f>IF(A5=1,$G71,IF(AND(W68&lt;&gt;"",Y68&lt;&gt;""),IF(W68&gt;Y68,V68,IF(W68&lt;Y68,Z68,AA68)),"Match 45 Winner"))</f>
        <v>Match 45 Winner</v>
      </c>
      <c r="W71" s="9"/>
      <c r="X71" s="9"/>
      <c r="Y71" s="9"/>
      <c r="Z71" s="86" t="str">
        <f>IF(A5=1,$K71,IF(AND(W69&lt;&gt;"",Y69&lt;&gt;""),IF(W69&gt;Y69,V69,IF(W69&lt;Y69,Z69,AA69)),"Match 46 Winner"))</f>
        <v>Match 46 Winner</v>
      </c>
      <c r="AA71" s="89"/>
      <c r="AB71" s="89"/>
      <c r="AC71" s="89"/>
      <c r="AD71" s="87" t="e">
        <f>IF(#REF!=Fina1,1,0)</f>
        <v>#REF!</v>
      </c>
    </row>
    <row r="72" spans="1:30" s="4" customFormat="1" ht="15" customHeight="1" x14ac:dyDescent="0.25">
      <c r="A72" s="19"/>
      <c r="B72" s="11"/>
      <c r="C72" s="12"/>
      <c r="D72" s="12"/>
      <c r="E72" s="12"/>
      <c r="F72" s="13"/>
      <c r="G72" s="12"/>
      <c r="H72" s="12"/>
      <c r="I72" s="30"/>
      <c r="J72" s="12"/>
      <c r="K72" s="12"/>
      <c r="L72" s="12"/>
      <c r="M72" s="12"/>
      <c r="N72" s="12"/>
      <c r="O72" s="12"/>
      <c r="P72" s="12"/>
      <c r="Q72" s="30"/>
      <c r="R72" s="12"/>
      <c r="S72" s="13"/>
      <c r="T72" s="6"/>
      <c r="U72" s="11"/>
      <c r="V72" s="12"/>
      <c r="W72" s="12"/>
      <c r="X72" s="12"/>
      <c r="Y72" s="12"/>
      <c r="Z72" s="12"/>
      <c r="AA72" s="12"/>
      <c r="AB72" s="12"/>
      <c r="AC72" s="12"/>
      <c r="AD72" s="88" t="e">
        <f>SUM(#REF!)</f>
        <v>#REF!</v>
      </c>
    </row>
    <row r="73" spans="1:30" s="4" customFormat="1" ht="15" customHeight="1" x14ac:dyDescent="0.25">
      <c r="A73" s="19"/>
      <c r="B73" s="4" t="s">
        <v>86</v>
      </c>
      <c r="L73" s="6"/>
    </row>
    <row r="74" spans="1:30" s="4" customFormat="1" ht="15" customHeight="1" x14ac:dyDescent="0.25">
      <c r="A74" s="19"/>
      <c r="L74" s="6"/>
    </row>
    <row r="75" spans="1:30" s="4" customFormat="1" ht="15" customHeight="1" x14ac:dyDescent="0.25">
      <c r="A75" s="19"/>
      <c r="L75" s="6"/>
    </row>
    <row r="76" spans="1:30" s="4" customFormat="1" ht="15" customHeight="1" x14ac:dyDescent="0.25">
      <c r="A76" s="19"/>
      <c r="L76" s="6"/>
    </row>
    <row r="77" spans="1:30" s="4" customFormat="1" ht="15" customHeight="1" x14ac:dyDescent="0.25">
      <c r="A77" s="19"/>
      <c r="L77" s="6"/>
    </row>
    <row r="78" spans="1:30" s="4" customFormat="1" ht="15" customHeight="1" x14ac:dyDescent="0.25">
      <c r="A78" s="19"/>
      <c r="L78" s="6"/>
      <c r="V78" s="19">
        <v>0</v>
      </c>
      <c r="W78" s="19"/>
      <c r="X78" s="19"/>
      <c r="Y78" s="19"/>
      <c r="Z78" s="19"/>
      <c r="AA78" s="19"/>
      <c r="AB78" s="19"/>
      <c r="AC78" s="19"/>
      <c r="AD78" s="19"/>
    </row>
    <row r="79" spans="1:30" s="4" customFormat="1" ht="15" customHeight="1" x14ac:dyDescent="0.25">
      <c r="A79" s="19"/>
      <c r="L79" s="6"/>
    </row>
    <row r="80" spans="1:30" s="4" customFormat="1" ht="15" customHeight="1" x14ac:dyDescent="0.25">
      <c r="A80" s="19"/>
      <c r="L80" s="6"/>
    </row>
    <row r="81" spans="1:12" s="4" customFormat="1" ht="15" customHeight="1" x14ac:dyDescent="0.25">
      <c r="A81" s="19"/>
      <c r="L81" s="6"/>
    </row>
    <row r="82" spans="1:12" s="4" customFormat="1" ht="15" customHeight="1" x14ac:dyDescent="0.25">
      <c r="A82" s="19"/>
      <c r="L82" s="6"/>
    </row>
    <row r="83" spans="1:12" s="4" customFormat="1" ht="15" customHeight="1" x14ac:dyDescent="0.25">
      <c r="A83" s="19"/>
      <c r="L83" s="6"/>
    </row>
    <row r="84" spans="1:12" s="4" customFormat="1" ht="15" customHeight="1" x14ac:dyDescent="0.25">
      <c r="A84" s="19"/>
      <c r="L84" s="6"/>
    </row>
    <row r="85" spans="1:12" s="4" customFormat="1" ht="15" customHeight="1" x14ac:dyDescent="0.25">
      <c r="A85" s="19"/>
      <c r="L85" s="6"/>
    </row>
    <row r="86" spans="1:12" s="4" customFormat="1" ht="15" customHeight="1" x14ac:dyDescent="0.25">
      <c r="A86" s="19"/>
      <c r="L86" s="6"/>
    </row>
    <row r="87" spans="1:12" s="4" customFormat="1" ht="15" hidden="1" customHeight="1" x14ac:dyDescent="0.25">
      <c r="A87" s="19"/>
      <c r="L87" s="6"/>
    </row>
    <row r="88" spans="1:12" s="4" customFormat="1" ht="15" hidden="1" customHeight="1" x14ac:dyDescent="0.25">
      <c r="A88" s="19"/>
      <c r="L88" s="6"/>
    </row>
    <row r="89" spans="1:12" s="4" customFormat="1" ht="15" hidden="1" customHeight="1" x14ac:dyDescent="0.25">
      <c r="A89" s="19"/>
      <c r="L89" s="6"/>
    </row>
    <row r="90" spans="1:12" s="4" customFormat="1" ht="15" hidden="1" customHeight="1" x14ac:dyDescent="0.25">
      <c r="A90" s="19"/>
      <c r="L90" s="6"/>
    </row>
    <row r="91" spans="1:12" s="4" customFormat="1" ht="15" hidden="1" customHeight="1" x14ac:dyDescent="0.25">
      <c r="A91" s="19"/>
      <c r="L91" s="6"/>
    </row>
    <row r="92" spans="1:12" s="4" customFormat="1" ht="15" hidden="1" customHeight="1" x14ac:dyDescent="0.25">
      <c r="A92" s="19"/>
      <c r="L92" s="6"/>
    </row>
    <row r="93" spans="1:12" s="4" customFormat="1" ht="15" hidden="1" customHeight="1" x14ac:dyDescent="0.25">
      <c r="A93" s="19"/>
      <c r="L93" s="6"/>
    </row>
    <row r="94" spans="1:12" s="4" customFormat="1" ht="15" hidden="1" customHeight="1" x14ac:dyDescent="0.25">
      <c r="A94" s="19"/>
      <c r="L94" s="6"/>
    </row>
    <row r="95" spans="1:12" s="4" customFormat="1" ht="15" hidden="1" customHeight="1" x14ac:dyDescent="0.25">
      <c r="A95" s="19"/>
      <c r="L95" s="6"/>
    </row>
    <row r="96" spans="1:12" s="4" customFormat="1" ht="15" hidden="1" customHeight="1" x14ac:dyDescent="0.25">
      <c r="A96" s="19"/>
      <c r="L96" s="6"/>
    </row>
    <row r="97" spans="1:12" s="4" customFormat="1" ht="15" hidden="1" customHeight="1" x14ac:dyDescent="0.25">
      <c r="A97" s="19"/>
      <c r="L97" s="6"/>
    </row>
    <row r="98" spans="1:12" s="4" customFormat="1" ht="15" hidden="1" customHeight="1" x14ac:dyDescent="0.25">
      <c r="A98" s="19"/>
      <c r="L98" s="6"/>
    </row>
    <row r="99" spans="1:12" s="4" customFormat="1" ht="15" hidden="1" customHeight="1" x14ac:dyDescent="0.25">
      <c r="A99" s="19"/>
      <c r="L99" s="6"/>
    </row>
    <row r="100" spans="1:12" s="4" customFormat="1" ht="15" hidden="1" customHeight="1" x14ac:dyDescent="0.25">
      <c r="A100" s="19"/>
      <c r="L100" s="6"/>
    </row>
    <row r="101" spans="1:12" s="4" customFormat="1" ht="15" hidden="1" customHeight="1" x14ac:dyDescent="0.25">
      <c r="A101" s="19"/>
      <c r="L101" s="6"/>
    </row>
    <row r="102" spans="1:12" s="4" customFormat="1" ht="15" hidden="1" customHeight="1" x14ac:dyDescent="0.25">
      <c r="A102" s="19"/>
      <c r="L102" s="6"/>
    </row>
    <row r="103" spans="1:12" s="4" customFormat="1" ht="15" hidden="1" customHeight="1" x14ac:dyDescent="0.25">
      <c r="A103" s="19"/>
      <c r="L103" s="6"/>
    </row>
    <row r="104" spans="1:12" s="4" customFormat="1" ht="15" hidden="1" customHeight="1" x14ac:dyDescent="0.25">
      <c r="A104" s="19"/>
      <c r="L104" s="6"/>
    </row>
    <row r="105" spans="1:12" s="4" customFormat="1" ht="15" hidden="1" customHeight="1" x14ac:dyDescent="0.25">
      <c r="A105" s="19"/>
      <c r="L105" s="6"/>
    </row>
    <row r="106" spans="1:12" s="4" customFormat="1" ht="15" hidden="1" customHeight="1" x14ac:dyDescent="0.25">
      <c r="A106" s="19"/>
      <c r="L106" s="6"/>
    </row>
    <row r="107" spans="1:12" s="4" customFormat="1" ht="15" hidden="1" customHeight="1" x14ac:dyDescent="0.25">
      <c r="A107" s="19"/>
      <c r="L107" s="6"/>
    </row>
    <row r="108" spans="1:12" s="4" customFormat="1" ht="15" hidden="1" customHeight="1" x14ac:dyDescent="0.25">
      <c r="A108" s="19"/>
      <c r="L108" s="6"/>
    </row>
    <row r="109" spans="1:12" s="4" customFormat="1" ht="15" hidden="1" customHeight="1" x14ac:dyDescent="0.25">
      <c r="A109" s="19"/>
      <c r="L109" s="6"/>
    </row>
    <row r="110" spans="1:12" s="4" customFormat="1" ht="15" hidden="1" customHeight="1" x14ac:dyDescent="0.25">
      <c r="A110" s="19"/>
      <c r="L110" s="6"/>
    </row>
    <row r="111" spans="1:12" s="4" customFormat="1" ht="15" hidden="1" customHeight="1" x14ac:dyDescent="0.25">
      <c r="A111" s="19"/>
      <c r="L111" s="6"/>
    </row>
    <row r="112" spans="1:12" s="4" customFormat="1" ht="15" hidden="1" customHeight="1" x14ac:dyDescent="0.25">
      <c r="A112" s="19"/>
      <c r="L112" s="6"/>
    </row>
    <row r="113" spans="1:19" s="4" customFormat="1" ht="15" hidden="1" customHeight="1" x14ac:dyDescent="0.25">
      <c r="A113" s="19"/>
      <c r="L113" s="6"/>
    </row>
    <row r="114" spans="1:19" s="4" customFormat="1" ht="15" hidden="1" customHeight="1" x14ac:dyDescent="0.25">
      <c r="A114" s="19"/>
      <c r="L114" s="6"/>
    </row>
    <row r="115" spans="1:19" s="4" customFormat="1" ht="15" hidden="1" customHeight="1" x14ac:dyDescent="0.25">
      <c r="A115" s="19"/>
      <c r="B115" s="6"/>
      <c r="C115" s="6"/>
      <c r="D115" s="6"/>
      <c r="E115" s="6"/>
      <c r="F115" s="6"/>
      <c r="G115" s="6"/>
      <c r="H115" s="6"/>
      <c r="I115" s="7"/>
      <c r="J115" s="6"/>
      <c r="K115" s="6"/>
      <c r="L115" s="6"/>
      <c r="N115" s="6"/>
      <c r="O115" s="6"/>
      <c r="P115" s="6"/>
      <c r="Q115" s="7"/>
      <c r="R115" s="6"/>
      <c r="S115" s="6"/>
    </row>
    <row r="116" spans="1:19" s="4" customFormat="1" ht="15" hidden="1" customHeight="1" x14ac:dyDescent="0.25">
      <c r="A116" s="19"/>
      <c r="B116" s="6"/>
      <c r="C116" s="6"/>
      <c r="D116" s="6"/>
      <c r="E116" s="6"/>
      <c r="F116" s="6"/>
      <c r="G116" s="6"/>
      <c r="H116" s="6"/>
      <c r="I116" s="7"/>
      <c r="J116" s="6"/>
      <c r="K116" s="6"/>
      <c r="L116" s="6"/>
      <c r="N116" s="6"/>
      <c r="O116" s="6"/>
      <c r="P116" s="6"/>
      <c r="Q116" s="7"/>
      <c r="R116" s="6"/>
      <c r="S116" s="6"/>
    </row>
    <row r="117" spans="1:19" ht="14.4" hidden="1" customHeight="1" x14ac:dyDescent="0.3"/>
    <row r="118" spans="1:19" ht="14.4" customHeight="1" x14ac:dyDescent="0.3"/>
  </sheetData>
  <mergeCells count="32">
    <mergeCell ref="AA69:AC69"/>
    <mergeCell ref="F5:H5"/>
    <mergeCell ref="H11:J11"/>
    <mergeCell ref="P11:R11"/>
    <mergeCell ref="AA64:AC64"/>
    <mergeCell ref="H57:J57"/>
    <mergeCell ref="H58:J58"/>
    <mergeCell ref="H59:J59"/>
    <mergeCell ref="H60:J60"/>
    <mergeCell ref="H61:J61"/>
    <mergeCell ref="H63:J63"/>
    <mergeCell ref="W57:Y57"/>
    <mergeCell ref="W58:Y58"/>
    <mergeCell ref="W59:Y59"/>
    <mergeCell ref="W60:Y60"/>
    <mergeCell ref="W61:Y61"/>
    <mergeCell ref="AA70:AC70"/>
    <mergeCell ref="AA71:AC71"/>
    <mergeCell ref="F3:K3"/>
    <mergeCell ref="U9:AD9"/>
    <mergeCell ref="W11:Y11"/>
    <mergeCell ref="G9:S9"/>
    <mergeCell ref="B9:F9"/>
    <mergeCell ref="G54:AD54"/>
    <mergeCell ref="G8:AD8"/>
    <mergeCell ref="B8:F8"/>
    <mergeCell ref="G55:S55"/>
    <mergeCell ref="U55:AD55"/>
    <mergeCell ref="AA65:AC65"/>
    <mergeCell ref="AA66:AC66"/>
    <mergeCell ref="AA67:AC67"/>
    <mergeCell ref="AA68:AC68"/>
  </mergeCells>
  <conditionalFormatting sqref="W13:W52 Y13:Y52">
    <cfRule type="expression" dxfId="39" priority="9173" stopIfTrue="1">
      <formula>ISBLANK(W13)</formula>
    </cfRule>
  </conditionalFormatting>
  <conditionalFormatting sqref="G13:G52 G64:G71">
    <cfRule type="expression" dxfId="38" priority="9174" stopIfTrue="1">
      <formula>H13&gt;J13</formula>
    </cfRule>
    <cfRule type="expression" dxfId="37" priority="9175" stopIfTrue="1">
      <formula>H13&lt;J13</formula>
    </cfRule>
  </conditionalFormatting>
  <conditionalFormatting sqref="K13:K52">
    <cfRule type="expression" dxfId="36" priority="9176">
      <formula>J13&gt;H13</formula>
    </cfRule>
    <cfRule type="expression" dxfId="35" priority="9177">
      <formula>J13&lt;H13</formula>
    </cfRule>
  </conditionalFormatting>
  <conditionalFormatting sqref="K64:K71">
    <cfRule type="expression" dxfId="34" priority="9178">
      <formula>J64&gt;H64</formula>
    </cfRule>
    <cfRule type="expression" dxfId="33" priority="9179">
      <formula>$J64&lt;$H64</formula>
    </cfRule>
  </conditionalFormatting>
  <conditionalFormatting sqref="W13:W52">
    <cfRule type="expression" dxfId="32" priority="9168">
      <formula>ISNUMBER(W13)</formula>
    </cfRule>
  </conditionalFormatting>
  <conditionalFormatting sqref="Y13:Y52">
    <cfRule type="expression" dxfId="31" priority="9167">
      <formula>ISNUMBER(Y13)</formula>
    </cfRule>
  </conditionalFormatting>
  <conditionalFormatting sqref="W65:W71 Y65:Y71">
    <cfRule type="expression" dxfId="30" priority="9163" stopIfTrue="1">
      <formula>ISBLANK(W65)</formula>
    </cfRule>
  </conditionalFormatting>
  <conditionalFormatting sqref="W65:W71">
    <cfRule type="expression" dxfId="29" priority="9162">
      <formula>ISNUMBER(W65)</formula>
    </cfRule>
  </conditionalFormatting>
  <conditionalFormatting sqref="W64">
    <cfRule type="expression" dxfId="28" priority="9165">
      <formula>ISNUMBER(W64)</formula>
    </cfRule>
  </conditionalFormatting>
  <conditionalFormatting sqref="W64 Y64">
    <cfRule type="expression" dxfId="27" priority="9166" stopIfTrue="1">
      <formula>ISBLANK(W64)</formula>
    </cfRule>
  </conditionalFormatting>
  <conditionalFormatting sqref="Y64">
    <cfRule type="expression" dxfId="26" priority="9164">
      <formula>ISNUMBER(Y64)</formula>
    </cfRule>
  </conditionalFormatting>
  <conditionalFormatting sqref="Y65:Y71">
    <cfRule type="expression" dxfId="25" priority="9161">
      <formula>ISNUMBER(Y65)</formula>
    </cfRule>
  </conditionalFormatting>
  <conditionalFormatting sqref="AC13:AC52">
    <cfRule type="expression" dxfId="24" priority="4565">
      <formula>ISNUMBER(AC13)</formula>
    </cfRule>
  </conditionalFormatting>
  <conditionalFormatting sqref="AA13:AA52 AC13:AC52">
    <cfRule type="expression" dxfId="23" priority="4567" stopIfTrue="1">
      <formula>ISBLANK(AA13)</formula>
    </cfRule>
  </conditionalFormatting>
  <conditionalFormatting sqref="AA13:AA52">
    <cfRule type="expression" dxfId="22" priority="4566">
      <formula>ISNUMBER(AA13)</formula>
    </cfRule>
  </conditionalFormatting>
  <conditionalFormatting sqref="V13:V52">
    <cfRule type="expression" dxfId="21" priority="4416" stopIfTrue="1">
      <formula>W13&gt;Y13</formula>
    </cfRule>
    <cfRule type="expression" dxfId="20" priority="4417" stopIfTrue="1">
      <formula>W13&lt;Y13</formula>
    </cfRule>
  </conditionalFormatting>
  <conditionalFormatting sqref="Z13:Z52">
    <cfRule type="expression" dxfId="19" priority="4414">
      <formula>Y13&gt;W13</formula>
    </cfRule>
    <cfRule type="expression" dxfId="18" priority="4415">
      <formula>Y13&lt;W13</formula>
    </cfRule>
  </conditionalFormatting>
  <conditionalFormatting sqref="V64:V71">
    <cfRule type="expression" dxfId="17" priority="154">
      <formula>AND($S$64=0,V64=$G64)</formula>
    </cfRule>
    <cfRule type="expression" dxfId="16" priority="4409">
      <formula>AND(W64&lt;&gt;"",Y64&lt;&gt;"",W64&gt;Y64)</formula>
    </cfRule>
  </conditionalFormatting>
  <conditionalFormatting sqref="Z64:Z71">
    <cfRule type="expression" dxfId="15" priority="153">
      <formula>AND($S$64=0,Z64=$K64)</formula>
    </cfRule>
    <cfRule type="expression" dxfId="14" priority="4408">
      <formula>AND(W64&lt;&gt;"",Y64&lt;&gt;"",W64&lt;Y64)</formula>
    </cfRule>
  </conditionalFormatting>
  <conditionalFormatting sqref="V58:V61">
    <cfRule type="expression" dxfId="13" priority="4407">
      <formula>AND($S$64=0,V58=$G58)</formula>
    </cfRule>
  </conditionalFormatting>
  <conditionalFormatting sqref="Z58:Z61">
    <cfRule type="expression" dxfId="12" priority="4406">
      <formula>AND($S$64=0,Z58=$K58)</formula>
    </cfRule>
  </conditionalFormatting>
  <conditionalFormatting sqref="H13:H52 J13:J52">
    <cfRule type="expression" dxfId="11" priority="12" stopIfTrue="1">
      <formula>ISBLANK(H13)</formula>
    </cfRule>
  </conditionalFormatting>
  <conditionalFormatting sqref="H13:H52">
    <cfRule type="expression" dxfId="10" priority="11">
      <formula>ISNUMBER(H13)</formula>
    </cfRule>
  </conditionalFormatting>
  <conditionalFormatting sqref="J13:J52">
    <cfRule type="expression" dxfId="9" priority="10">
      <formula>ISNUMBER(J13)</formula>
    </cfRule>
  </conditionalFormatting>
  <conditionalFormatting sqref="N13:N52">
    <cfRule type="expression" dxfId="8" priority="7">
      <formula>ISNUMBER(N13)</formula>
    </cfRule>
  </conditionalFormatting>
  <conditionalFormatting sqref="L13:L52 N13:N52">
    <cfRule type="expression" dxfId="7" priority="9" stopIfTrue="1">
      <formula>ISBLANK(L13)</formula>
    </cfRule>
  </conditionalFormatting>
  <conditionalFormatting sqref="L13:L52">
    <cfRule type="expression" dxfId="6" priority="8">
      <formula>ISNUMBER(L13)</formula>
    </cfRule>
  </conditionalFormatting>
  <conditionalFormatting sqref="H65:H71 J65:J71">
    <cfRule type="expression" dxfId="5" priority="3" stopIfTrue="1">
      <formula>ISBLANK(H65)</formula>
    </cfRule>
  </conditionalFormatting>
  <conditionalFormatting sqref="H65:H71">
    <cfRule type="expression" dxfId="4" priority="2">
      <formula>ISNUMBER(H65)</formula>
    </cfRule>
  </conditionalFormatting>
  <conditionalFormatting sqref="H64">
    <cfRule type="expression" dxfId="3" priority="5">
      <formula>ISNUMBER(H64)</formula>
    </cfRule>
  </conditionalFormatting>
  <conditionalFormatting sqref="H64 J64">
    <cfRule type="expression" dxfId="2" priority="6" stopIfTrue="1">
      <formula>ISBLANK(H64)</formula>
    </cfRule>
  </conditionalFormatting>
  <conditionalFormatting sqref="J64">
    <cfRule type="expression" dxfId="1" priority="4">
      <formula>ISNUMBER(J64)</formula>
    </cfRule>
  </conditionalFormatting>
  <conditionalFormatting sqref="J65:J71">
    <cfRule type="expression" dxfId="0" priority="1">
      <formula>ISNUMBER(J65)</formula>
    </cfRule>
  </conditionalFormatting>
  <dataValidations count="1">
    <dataValidation type="list" allowBlank="1" showInputMessage="1" showErrorMessage="1" sqref="F5">
      <formula1>"Based on Prediction Matches, Based on Real Matches"</formula1>
    </dataValidation>
  </dataValidations>
  <printOptions horizontalCentered="1" verticalCentered="1"/>
  <pageMargins left="0.39" right="0.32" top="0.28999999999999998" bottom="0.39" header="0.21" footer="0.26"/>
  <pageSetup scale="49" orientation="landscape" horizontalDpi="300" verticalDpi="300"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O41"/>
  <sheetViews>
    <sheetView tabSelected="1" zoomScale="80" zoomScaleNormal="80" workbookViewId="0">
      <selection activeCell="A22" sqref="A22"/>
    </sheetView>
  </sheetViews>
  <sheetFormatPr defaultColWidth="12.44140625" defaultRowHeight="15.6" customHeight="1" x14ac:dyDescent="0.3"/>
  <cols>
    <col min="1" max="1" width="12.44140625" style="132" customWidth="1"/>
    <col min="2" max="16384" width="12.44140625" style="132"/>
  </cols>
  <sheetData>
    <row r="4" spans="1:1" s="126" customFormat="1" ht="15.6" customHeight="1" x14ac:dyDescent="0.5">
      <c r="A4" s="125"/>
    </row>
    <row r="5" spans="1:1" s="126" customFormat="1" ht="15.6" customHeight="1" x14ac:dyDescent="0.5">
      <c r="A5" s="127"/>
    </row>
    <row r="40" spans="1:15" s="126" customFormat="1" ht="30" customHeight="1" x14ac:dyDescent="0.5">
      <c r="A40" s="128" t="s">
        <v>93</v>
      </c>
      <c r="B40" s="128"/>
      <c r="C40" s="128"/>
      <c r="D40" s="128"/>
      <c r="E40" s="128"/>
      <c r="F40" s="128"/>
      <c r="G40" s="128"/>
      <c r="H40" s="128"/>
      <c r="I40" s="128"/>
      <c r="J40" s="128"/>
      <c r="K40" s="128"/>
      <c r="L40" s="128"/>
      <c r="M40" s="129"/>
      <c r="N40" s="129"/>
      <c r="O40" s="129"/>
    </row>
    <row r="41" spans="1:15" s="126" customFormat="1" ht="30" customHeight="1" x14ac:dyDescent="0.5">
      <c r="A41" s="130" t="s">
        <v>94</v>
      </c>
      <c r="B41" s="130"/>
      <c r="C41" s="130"/>
      <c r="D41" s="130"/>
      <c r="E41" s="130"/>
      <c r="F41" s="130"/>
      <c r="G41" s="130"/>
      <c r="H41" s="130"/>
      <c r="I41" s="130"/>
      <c r="J41" s="130"/>
      <c r="K41" s="130"/>
      <c r="L41" s="130"/>
      <c r="M41" s="131"/>
      <c r="N41" s="131"/>
      <c r="O41" s="131"/>
    </row>
  </sheetData>
  <mergeCells count="2">
    <mergeCell ref="A40:L40"/>
    <mergeCell ref="A41:L41"/>
  </mergeCells>
  <hyperlinks>
    <hyperlink ref="A41" r:id="rId1" display="https://exceltemplate.net/support/ "/>
    <hyperlink ref="A41:L41" r:id="rId2" display="https://exceltemplate.net/support/"/>
  </hyperlinks>
  <pageMargins left="0.7" right="0.7" top="0.75" bottom="0.75" header="0.3" footer="0.3"/>
  <pageSetup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O41"/>
  <sheetViews>
    <sheetView zoomScale="80" zoomScaleNormal="80" workbookViewId="0">
      <selection activeCell="A22" sqref="A22"/>
    </sheetView>
  </sheetViews>
  <sheetFormatPr defaultColWidth="12.44140625" defaultRowHeight="15.6" customHeight="1" x14ac:dyDescent="0.3"/>
  <cols>
    <col min="1" max="1" width="12.44140625" style="132" customWidth="1"/>
    <col min="2" max="16384" width="12.44140625" style="132"/>
  </cols>
  <sheetData>
    <row r="4" spans="1:1" s="126" customFormat="1" ht="15.6" customHeight="1" x14ac:dyDescent="0.5">
      <c r="A4" s="125"/>
    </row>
    <row r="5" spans="1:1" s="126" customFormat="1" ht="15.6" customHeight="1" x14ac:dyDescent="0.5">
      <c r="A5" s="127"/>
    </row>
    <row r="40" spans="1:15" s="126" customFormat="1" ht="30" customHeight="1" x14ac:dyDescent="0.5">
      <c r="A40" s="128" t="s">
        <v>93</v>
      </c>
      <c r="B40" s="128"/>
      <c r="C40" s="128"/>
      <c r="D40" s="128"/>
      <c r="E40" s="128"/>
      <c r="F40" s="128"/>
      <c r="G40" s="128"/>
      <c r="H40" s="128"/>
      <c r="I40" s="128"/>
      <c r="J40" s="128"/>
      <c r="K40" s="128"/>
      <c r="L40" s="128"/>
      <c r="M40" s="129"/>
      <c r="N40" s="129"/>
      <c r="O40" s="129"/>
    </row>
    <row r="41" spans="1:15" s="126" customFormat="1" ht="30" customHeight="1" x14ac:dyDescent="0.5">
      <c r="A41" s="130" t="s">
        <v>94</v>
      </c>
      <c r="B41" s="130"/>
      <c r="C41" s="130"/>
      <c r="D41" s="130"/>
      <c r="E41" s="130"/>
      <c r="F41" s="130"/>
      <c r="G41" s="130"/>
      <c r="H41" s="130"/>
      <c r="I41" s="130"/>
      <c r="J41" s="130"/>
      <c r="K41" s="130"/>
      <c r="L41" s="130"/>
      <c r="M41" s="131"/>
      <c r="N41" s="131"/>
      <c r="O41" s="131"/>
    </row>
  </sheetData>
  <mergeCells count="2">
    <mergeCell ref="A40:L40"/>
    <mergeCell ref="A41:L41"/>
  </mergeCells>
  <hyperlinks>
    <hyperlink ref="A41" r:id="rId1" display="https://exceltemplate.net/support/ "/>
    <hyperlink ref="A41:L41" r:id="rId2" display="https://exceltemplate.net/support/"/>
  </hyperlinks>
  <pageMargins left="0.7" right="0.7" top="0.75" bottom="0.75" header="0.3" footer="0.3"/>
  <pageSetup orientation="portrait" horizontalDpi="1200" verticalDpi="1200" r:id="rId3"/>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DM177"/>
  <sheetViews>
    <sheetView showGridLines="0" topLeftCell="A8" zoomScaleNormal="100" workbookViewId="0">
      <selection activeCell="N44" sqref="N44"/>
    </sheetView>
  </sheetViews>
  <sheetFormatPr defaultColWidth="0" defaultRowHeight="14.4" zeroHeight="1" x14ac:dyDescent="0.3"/>
  <cols>
    <col min="1" max="1" width="2.44140625" style="44" customWidth="1"/>
    <col min="2" max="5" width="3.77734375" style="44" customWidth="1"/>
    <col min="6" max="6" width="6.77734375" style="66" customWidth="1"/>
    <col min="7" max="7" width="6.77734375" style="67" customWidth="1"/>
    <col min="8" max="8" width="21.77734375" style="44" customWidth="1"/>
    <col min="9" max="13" width="3.77734375" style="44" customWidth="1"/>
    <col min="14" max="14" width="21.77734375" style="44" customWidth="1"/>
    <col min="15" max="34" width="3.77734375" style="44" customWidth="1"/>
    <col min="35" max="35" width="3.77734375" style="40" customWidth="1"/>
    <col min="36" max="36" width="3.77734375" style="68" customWidth="1"/>
    <col min="37" max="44" width="3.77734375" style="44" customWidth="1"/>
    <col min="45" max="45" width="3" style="44" customWidth="1"/>
    <col min="46" max="114" width="9.109375" style="44" hidden="1" customWidth="1"/>
    <col min="115" max="117" width="0" style="44" hidden="1" customWidth="1"/>
    <col min="118" max="16384" width="9.109375" style="44" hidden="1"/>
  </cols>
  <sheetData>
    <row r="1" spans="2:116" x14ac:dyDescent="0.3">
      <c r="K1" s="44" t="s">
        <v>27</v>
      </c>
    </row>
    <row r="2" spans="2:116" x14ac:dyDescent="0.3"/>
    <row r="3" spans="2:116" ht="15" customHeight="1" x14ac:dyDescent="0.3">
      <c r="C3" s="69" t="s">
        <v>8</v>
      </c>
      <c r="E3" s="70"/>
      <c r="G3" s="71" t="s">
        <v>24</v>
      </c>
      <c r="H3" s="69" t="s">
        <v>9</v>
      </c>
      <c r="J3" s="69" t="s">
        <v>26</v>
      </c>
      <c r="N3" s="120" t="s">
        <v>55</v>
      </c>
      <c r="O3" s="120"/>
      <c r="P3" s="120"/>
      <c r="Q3" s="120"/>
      <c r="R3" s="120"/>
      <c r="W3" s="72"/>
      <c r="X3" s="121" t="s">
        <v>14</v>
      </c>
      <c r="Y3" s="121"/>
      <c r="Z3" s="121"/>
      <c r="AA3" s="121"/>
      <c r="AB3" s="121"/>
      <c r="AC3" s="121"/>
      <c r="AD3" s="121"/>
      <c r="AE3" s="121"/>
      <c r="AF3" s="121"/>
      <c r="AG3" s="121"/>
      <c r="AH3" s="121"/>
      <c r="AI3" s="121"/>
      <c r="AJ3" s="121"/>
      <c r="AK3" s="121"/>
      <c r="AL3" s="121"/>
      <c r="AM3" s="121"/>
    </row>
    <row r="4" spans="2:116" ht="8.25" customHeight="1" x14ac:dyDescent="0.3">
      <c r="C4" s="69"/>
      <c r="E4" s="70"/>
      <c r="G4" s="71"/>
      <c r="O4" s="50"/>
      <c r="P4" s="49"/>
      <c r="Q4" s="49"/>
      <c r="R4" s="49"/>
      <c r="S4" s="49"/>
      <c r="T4" s="49"/>
      <c r="U4" s="49"/>
      <c r="V4" s="49"/>
      <c r="W4" s="72"/>
      <c r="X4" s="121"/>
      <c r="Y4" s="121"/>
      <c r="Z4" s="121"/>
      <c r="AA4" s="121"/>
      <c r="AB4" s="121"/>
      <c r="AC4" s="121"/>
      <c r="AD4" s="121"/>
      <c r="AE4" s="121"/>
      <c r="AF4" s="121"/>
      <c r="AG4" s="121"/>
      <c r="AH4" s="121"/>
      <c r="AI4" s="121"/>
      <c r="AJ4" s="121"/>
      <c r="AK4" s="121"/>
      <c r="AL4" s="121"/>
      <c r="AM4" s="121"/>
      <c r="DD4" s="44" t="s">
        <v>1</v>
      </c>
    </row>
    <row r="5" spans="2:116" ht="15" customHeight="1" x14ac:dyDescent="0.3">
      <c r="C5" s="69" t="s">
        <v>23</v>
      </c>
      <c r="E5" s="70"/>
      <c r="G5" s="71" t="s">
        <v>24</v>
      </c>
      <c r="H5" s="69" t="s">
        <v>40</v>
      </c>
      <c r="O5" s="50"/>
      <c r="P5" s="49"/>
      <c r="Q5" s="49"/>
      <c r="R5" s="49"/>
      <c r="S5" s="49"/>
      <c r="T5" s="49"/>
      <c r="U5" s="49"/>
      <c r="V5" s="49"/>
      <c r="W5" s="72"/>
      <c r="X5" s="121"/>
      <c r="Y5" s="121"/>
      <c r="Z5" s="121"/>
      <c r="AA5" s="121"/>
      <c r="AB5" s="121"/>
      <c r="AC5" s="121"/>
      <c r="AD5" s="121"/>
      <c r="AE5" s="121"/>
      <c r="AF5" s="121"/>
      <c r="AG5" s="121"/>
      <c r="AH5" s="121"/>
      <c r="AI5" s="121"/>
      <c r="AJ5" s="121"/>
      <c r="AK5" s="121"/>
      <c r="AL5" s="121"/>
      <c r="AM5" s="121"/>
    </row>
    <row r="6" spans="2:116" x14ac:dyDescent="0.3">
      <c r="G6" s="70"/>
    </row>
    <row r="7" spans="2:116" s="43" customFormat="1" ht="25.5" customHeight="1" x14ac:dyDescent="0.25">
      <c r="B7" s="118" t="s">
        <v>74</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row>
    <row r="8" spans="2:116" ht="18" customHeight="1" x14ac:dyDescent="0.3"/>
    <row r="9" spans="2:116" s="43" customFormat="1" ht="18" customHeight="1" x14ac:dyDescent="0.25">
      <c r="C9" s="118" t="s">
        <v>69</v>
      </c>
      <c r="D9" s="118"/>
      <c r="E9" s="118"/>
      <c r="F9" s="118"/>
      <c r="G9" s="118"/>
      <c r="H9" s="118"/>
      <c r="I9" s="118"/>
      <c r="J9" s="118"/>
      <c r="K9" s="118"/>
      <c r="L9" s="118"/>
      <c r="M9" s="118"/>
      <c r="N9" s="118"/>
      <c r="O9" s="118"/>
      <c r="P9" s="118"/>
      <c r="Q9" s="118"/>
      <c r="R9" s="118"/>
      <c r="S9" s="118"/>
      <c r="T9" s="118"/>
      <c r="U9" s="118"/>
      <c r="V9" s="118"/>
      <c r="W9" s="118"/>
      <c r="X9" s="118"/>
      <c r="Y9" s="118"/>
      <c r="Z9" s="118"/>
      <c r="AA9" s="118"/>
      <c r="AB9" s="47"/>
      <c r="AC9" s="123" t="s">
        <v>11</v>
      </c>
      <c r="AD9" s="123"/>
      <c r="AE9" s="123"/>
      <c r="AF9" s="123"/>
      <c r="AG9" s="123"/>
      <c r="AH9" s="123"/>
      <c r="AI9" s="123"/>
      <c r="AJ9" s="123"/>
      <c r="AK9" s="123"/>
      <c r="AL9" s="123"/>
      <c r="AM9" s="123"/>
      <c r="AN9" s="123"/>
      <c r="AO9" s="123"/>
      <c r="AP9" s="123"/>
      <c r="AQ9" s="123"/>
    </row>
    <row r="10" spans="2:116" s="43" customFormat="1" ht="18" hidden="1" customHeight="1" x14ac:dyDescent="0.25">
      <c r="C10" s="45"/>
      <c r="D10" s="45"/>
      <c r="E10" s="45"/>
      <c r="F10" s="46"/>
      <c r="G10" s="45"/>
      <c r="H10" s="45"/>
      <c r="I10" s="45"/>
      <c r="J10" s="45"/>
      <c r="K10" s="45"/>
      <c r="L10" s="45"/>
      <c r="M10" s="45"/>
      <c r="N10" s="45"/>
      <c r="O10" s="45"/>
      <c r="P10" s="45"/>
      <c r="Q10" s="45"/>
      <c r="R10" s="45"/>
      <c r="S10" s="45"/>
      <c r="T10" s="45"/>
      <c r="U10" s="45"/>
      <c r="V10" s="45"/>
      <c r="W10" s="45"/>
      <c r="X10" s="45"/>
      <c r="Y10" s="45"/>
      <c r="Z10" s="45"/>
      <c r="AA10" s="45"/>
      <c r="AB10" s="47"/>
      <c r="AC10" s="48"/>
      <c r="AD10" s="48"/>
      <c r="AE10" s="48"/>
      <c r="AF10" s="48"/>
      <c r="AG10" s="48"/>
      <c r="AH10" s="48"/>
      <c r="AI10" s="45"/>
      <c r="AJ10" s="45"/>
      <c r="AK10" s="45"/>
      <c r="AL10" s="45"/>
      <c r="AM10" s="45"/>
      <c r="AN10" s="45"/>
      <c r="AO10" s="45"/>
      <c r="AP10" s="73"/>
      <c r="AQ10" s="45"/>
    </row>
    <row r="11" spans="2:116" s="43" customFormat="1" ht="18" customHeight="1" x14ac:dyDescent="0.3">
      <c r="C11" s="45"/>
      <c r="D11" s="51" t="s">
        <v>30</v>
      </c>
      <c r="E11" s="51" t="s">
        <v>8</v>
      </c>
      <c r="F11" s="60" t="s">
        <v>15</v>
      </c>
      <c r="G11" s="51" t="s">
        <v>16</v>
      </c>
      <c r="H11" s="61" t="s">
        <v>31</v>
      </c>
      <c r="I11" s="51"/>
      <c r="J11" s="118" t="s">
        <v>12</v>
      </c>
      <c r="K11" s="118"/>
      <c r="L11" s="118"/>
      <c r="M11" s="51"/>
      <c r="N11" s="58" t="s">
        <v>32</v>
      </c>
      <c r="O11" s="118" t="s">
        <v>28</v>
      </c>
      <c r="P11" s="118"/>
      <c r="Q11" s="118"/>
      <c r="R11" s="45" t="s">
        <v>26</v>
      </c>
      <c r="S11" s="45"/>
      <c r="T11" s="45"/>
      <c r="U11" s="45"/>
      <c r="V11" s="45"/>
      <c r="W11" s="45"/>
      <c r="X11" s="45"/>
      <c r="Y11" s="45"/>
      <c r="Z11" s="45"/>
      <c r="AA11" s="45"/>
      <c r="AB11" s="47"/>
      <c r="AC11" s="124" t="s">
        <v>61</v>
      </c>
      <c r="AD11" s="124"/>
      <c r="AE11" s="124"/>
      <c r="AF11" s="124"/>
      <c r="AG11" s="62" t="s">
        <v>0</v>
      </c>
      <c r="AH11" s="62" t="s">
        <v>19</v>
      </c>
      <c r="AI11" s="62" t="s">
        <v>20</v>
      </c>
      <c r="AJ11" s="62" t="s">
        <v>21</v>
      </c>
      <c r="AK11" s="62" t="s">
        <v>71</v>
      </c>
      <c r="AL11" s="62" t="s">
        <v>72</v>
      </c>
      <c r="AM11" s="62" t="s">
        <v>73</v>
      </c>
      <c r="AN11" s="62" t="s">
        <v>59</v>
      </c>
      <c r="AO11" s="62" t="s">
        <v>58</v>
      </c>
      <c r="AP11" s="62" t="s">
        <v>60</v>
      </c>
      <c r="AQ11" s="62" t="s">
        <v>57</v>
      </c>
      <c r="DL11" s="44"/>
    </row>
    <row r="12" spans="2:116" s="43" customFormat="1" ht="18" customHeight="1" x14ac:dyDescent="0.3">
      <c r="F12" s="49"/>
      <c r="AB12" s="47"/>
      <c r="AC12" s="57">
        <v>1</v>
      </c>
      <c r="AD12" s="117" t="str">
        <f>VLOOKUP(1,'Dummy Table'!$A$4:$B$8,2,FALSE)</f>
        <v>Uruguay</v>
      </c>
      <c r="AE12" s="117"/>
      <c r="AF12" s="117"/>
      <c r="AG12" s="57">
        <f>SUM(AH12:AJ12)</f>
        <v>0</v>
      </c>
      <c r="AH12" s="57">
        <f>VLOOKUP($AD12,'Dummy Table'!$B$4:$C$29,2,FALSE)</f>
        <v>0</v>
      </c>
      <c r="AI12" s="57">
        <f>VLOOKUP($AD12,'Dummy Table'!$B$4:$D$29,3,FALSE)</f>
        <v>0</v>
      </c>
      <c r="AJ12" s="57">
        <f>VLOOKUP($AD12,'Dummy Table'!$B$4:$E$29,4,FALSE)</f>
        <v>0</v>
      </c>
      <c r="AK12" s="57">
        <f>VLOOKUP($AD12,'Dummy Table'!$B$4:$F$29,5,FALSE)</f>
        <v>0</v>
      </c>
      <c r="AL12" s="57">
        <f>VLOOKUP($AD12,'Dummy Table'!$B$4:$G$29,6,FALSE)</f>
        <v>0</v>
      </c>
      <c r="AM12" s="57">
        <f>AK12-AL12</f>
        <v>0</v>
      </c>
      <c r="AN12" s="57">
        <f>VLOOKUP($AD12,'Dummy Table'!$B$4:$I$29,8,FALSE)</f>
        <v>0</v>
      </c>
      <c r="AO12" s="57">
        <f>VLOOKUP($AD12,'Dummy Table'!$B$4:$J$29,9,FALSE)</f>
        <v>0</v>
      </c>
      <c r="AP12" s="57">
        <f>VLOOKUP($AD12,'Dummy Table'!$B$4:$M$29,12,FALSE)+VLOOKUP($AD12,'Dummy Table'!$B$4:$N$29,13,FALSE)</f>
        <v>4</v>
      </c>
      <c r="AQ12" s="57">
        <f>VLOOKUP($AD12,'Dummy Table'!$B$4:$O$29,14,FALSE)</f>
        <v>4</v>
      </c>
      <c r="DL12" s="44"/>
    </row>
    <row r="13" spans="2:116" s="43" customFormat="1" ht="18" customHeight="1" x14ac:dyDescent="0.3">
      <c r="D13" s="50">
        <v>1</v>
      </c>
      <c r="E13" s="51" t="s">
        <v>22</v>
      </c>
      <c r="F13" s="52">
        <v>42265</v>
      </c>
      <c r="G13" s="53">
        <v>0.83333333333333337</v>
      </c>
      <c r="H13" s="54" t="s">
        <v>4</v>
      </c>
      <c r="J13" s="51" t="str">
        <f>IF('Prediction Sheet'!H13&lt;&gt;"",'Prediction Sheet'!H13,"")</f>
        <v/>
      </c>
      <c r="K13" s="55" t="s">
        <v>25</v>
      </c>
      <c r="L13" s="51" t="str">
        <f>IF('Prediction Sheet'!J13&lt;&gt;"",'Prediction Sheet'!J13,"")</f>
        <v/>
      </c>
      <c r="N13" s="56" t="s">
        <v>29</v>
      </c>
      <c r="O13" s="51" t="str">
        <f>IF('Prediction Sheet'!L13&lt;&gt;"",'Prediction Sheet'!L13,"")</f>
        <v/>
      </c>
      <c r="P13" s="50" t="s">
        <v>25</v>
      </c>
      <c r="Q13" s="51" t="str">
        <f>IF('Prediction Sheet'!N13&lt;&gt;"",'Prediction Sheet'!N13,"")</f>
        <v/>
      </c>
      <c r="R13" s="43" t="s">
        <v>33</v>
      </c>
      <c r="AB13" s="47"/>
      <c r="AC13" s="57">
        <v>2</v>
      </c>
      <c r="AD13" s="117" t="str">
        <f>VLOOKUP(2,'Dummy Table'!$A$4:$B$8,2,FALSE)</f>
        <v>Fiji</v>
      </c>
      <c r="AE13" s="117"/>
      <c r="AF13" s="117"/>
      <c r="AG13" s="57">
        <f>SUM(AH13:AJ13)</f>
        <v>0</v>
      </c>
      <c r="AH13" s="57">
        <f>VLOOKUP(AD13,'Dummy Table'!$B$4:$C$29,2,FALSE)</f>
        <v>0</v>
      </c>
      <c r="AI13" s="57">
        <f>VLOOKUP($AD13,'Dummy Table'!$B$4:$D$29,3,FALSE)</f>
        <v>0</v>
      </c>
      <c r="AJ13" s="57">
        <f>VLOOKUP($AD13,'Dummy Table'!$B$4:$E$29,4,FALSE)</f>
        <v>0</v>
      </c>
      <c r="AK13" s="57">
        <f>VLOOKUP($AD13,'Dummy Table'!$B$4:$F$29,5,FALSE)</f>
        <v>0</v>
      </c>
      <c r="AL13" s="57">
        <f>VLOOKUP($AD13,'Dummy Table'!$B$4:$G$29,6,FALSE)</f>
        <v>0</v>
      </c>
      <c r="AM13" s="57">
        <f t="shared" ref="AM13:AM16" si="0">AK13-AL13</f>
        <v>0</v>
      </c>
      <c r="AN13" s="57">
        <f>VLOOKUP($AD13,'Dummy Table'!$B$4:$I$29,8,FALSE)</f>
        <v>0</v>
      </c>
      <c r="AO13" s="57">
        <f>VLOOKUP($AD13,'Dummy Table'!$B$4:$J$29,9,FALSE)</f>
        <v>0</v>
      </c>
      <c r="AP13" s="57">
        <f>VLOOKUP($AD13,'Dummy Table'!$B$4:$M$29,12,FALSE)+VLOOKUP($AD13,'Dummy Table'!$B$4:$N$29,13,FALSE)</f>
        <v>4</v>
      </c>
      <c r="AQ13" s="57">
        <f>VLOOKUP($AD13,'Dummy Table'!$B$4:$O$29,14,FALSE)</f>
        <v>4</v>
      </c>
      <c r="DL13" s="44"/>
    </row>
    <row r="14" spans="2:116" s="43" customFormat="1" ht="18" customHeight="1" x14ac:dyDescent="0.3">
      <c r="D14" s="50">
        <v>2</v>
      </c>
      <c r="E14" s="51" t="s">
        <v>10</v>
      </c>
      <c r="F14" s="52">
        <v>42266</v>
      </c>
      <c r="G14" s="53">
        <v>0.5</v>
      </c>
      <c r="H14" s="54" t="s">
        <v>34</v>
      </c>
      <c r="J14" s="51" t="str">
        <f>IF('Prediction Sheet'!H14&lt;&gt;"",'Prediction Sheet'!H14,"")</f>
        <v/>
      </c>
      <c r="K14" s="55" t="s">
        <v>25</v>
      </c>
      <c r="L14" s="51" t="str">
        <f>IF('Prediction Sheet'!J14&lt;&gt;"",'Prediction Sheet'!J14,"")</f>
        <v/>
      </c>
      <c r="N14" s="56" t="s">
        <v>35</v>
      </c>
      <c r="O14" s="51" t="str">
        <f>IF('Prediction Sheet'!L14&lt;&gt;"",'Prediction Sheet'!L14,"")</f>
        <v/>
      </c>
      <c r="P14" s="50" t="s">
        <v>25</v>
      </c>
      <c r="Q14" s="51" t="str">
        <f>IF('Prediction Sheet'!N14&lt;&gt;"",'Prediction Sheet'!N14,"")</f>
        <v/>
      </c>
      <c r="R14" s="43" t="s">
        <v>36</v>
      </c>
      <c r="AB14" s="47"/>
      <c r="AC14" s="57">
        <v>3</v>
      </c>
      <c r="AD14" s="117" t="str">
        <f>VLOOKUP(3,'Dummy Table'!$A$4:$B$8,2,FALSE)</f>
        <v>Wales</v>
      </c>
      <c r="AE14" s="117"/>
      <c r="AF14" s="117"/>
      <c r="AG14" s="57">
        <f>SUM(AH14:AJ14)</f>
        <v>0</v>
      </c>
      <c r="AH14" s="57">
        <f>VLOOKUP(AD14,'Dummy Table'!$B$4:$C$29,2,FALSE)</f>
        <v>0</v>
      </c>
      <c r="AI14" s="57">
        <f>VLOOKUP($AD14,'Dummy Table'!$B$4:$D$29,3,FALSE)</f>
        <v>0</v>
      </c>
      <c r="AJ14" s="57">
        <f>VLOOKUP($AD14,'Dummy Table'!$B$4:$E$29,4,FALSE)</f>
        <v>0</v>
      </c>
      <c r="AK14" s="57">
        <f>VLOOKUP($AD14,'Dummy Table'!$B$4:$F$29,5,FALSE)</f>
        <v>0</v>
      </c>
      <c r="AL14" s="57">
        <f>VLOOKUP($AD14,'Dummy Table'!$B$4:$G$29,6,FALSE)</f>
        <v>0</v>
      </c>
      <c r="AM14" s="57">
        <f t="shared" si="0"/>
        <v>0</v>
      </c>
      <c r="AN14" s="57">
        <f>VLOOKUP($AD14,'Dummy Table'!$B$4:$I$29,8,FALSE)</f>
        <v>0</v>
      </c>
      <c r="AO14" s="57">
        <f>VLOOKUP($AD14,'Dummy Table'!$B$4:$J$29,9,FALSE)</f>
        <v>0</v>
      </c>
      <c r="AP14" s="57">
        <f>VLOOKUP($AD14,'Dummy Table'!$B$4:$M$29,12,FALSE)+VLOOKUP($AD14,'Dummy Table'!$B$4:$N$29,13,FALSE)</f>
        <v>4</v>
      </c>
      <c r="AQ14" s="57">
        <f>VLOOKUP($AD14,'Dummy Table'!$B$4:$O$29,14,FALSE)</f>
        <v>4</v>
      </c>
      <c r="DL14" s="44"/>
    </row>
    <row r="15" spans="2:116" s="43" customFormat="1" ht="18" customHeight="1" x14ac:dyDescent="0.3">
      <c r="D15" s="50">
        <v>3</v>
      </c>
      <c r="E15" s="51" t="s">
        <v>20</v>
      </c>
      <c r="F15" s="52">
        <v>42266</v>
      </c>
      <c r="G15" s="53">
        <v>0.60416666666666663</v>
      </c>
      <c r="H15" s="54" t="s">
        <v>37</v>
      </c>
      <c r="J15" s="51" t="str">
        <f>IF('Prediction Sheet'!H15&lt;&gt;"",'Prediction Sheet'!H15,"")</f>
        <v/>
      </c>
      <c r="K15" s="55" t="s">
        <v>25</v>
      </c>
      <c r="L15" s="51" t="str">
        <f>IF('Prediction Sheet'!J15&lt;&gt;"",'Prediction Sheet'!J15,"")</f>
        <v/>
      </c>
      <c r="N15" s="56" t="s">
        <v>38</v>
      </c>
      <c r="O15" s="51" t="str">
        <f>IF('Prediction Sheet'!L15&lt;&gt;"",'Prediction Sheet'!L15,"")</f>
        <v/>
      </c>
      <c r="P15" s="50" t="s">
        <v>25</v>
      </c>
      <c r="Q15" s="51" t="str">
        <f>IF('Prediction Sheet'!N15&lt;&gt;"",'Prediction Sheet'!N15,"")</f>
        <v/>
      </c>
      <c r="R15" s="43" t="s">
        <v>39</v>
      </c>
      <c r="AB15" s="47"/>
      <c r="AC15" s="57">
        <v>4</v>
      </c>
      <c r="AD15" s="117" t="str">
        <f>VLOOKUP(4,'Dummy Table'!$A$4:$B$8,2,FALSE)</f>
        <v>Australia</v>
      </c>
      <c r="AE15" s="117"/>
      <c r="AF15" s="117"/>
      <c r="AG15" s="57">
        <f>SUM(AH15:AJ15)</f>
        <v>0</v>
      </c>
      <c r="AH15" s="57">
        <f>VLOOKUP(AD15,'Dummy Table'!$B$4:$C$29,2,FALSE)</f>
        <v>0</v>
      </c>
      <c r="AI15" s="57">
        <f>VLOOKUP($AD15,'Dummy Table'!$B$4:$D$29,3,FALSE)</f>
        <v>0</v>
      </c>
      <c r="AJ15" s="57">
        <f>VLOOKUP($AD15,'Dummy Table'!$B$4:$E$29,4,FALSE)</f>
        <v>0</v>
      </c>
      <c r="AK15" s="57">
        <f>VLOOKUP($AD15,'Dummy Table'!$B$4:$F$29,5,FALSE)</f>
        <v>0</v>
      </c>
      <c r="AL15" s="57">
        <f>VLOOKUP($AD15,'Dummy Table'!$B$4:$G$29,6,FALSE)</f>
        <v>0</v>
      </c>
      <c r="AM15" s="57">
        <f t="shared" si="0"/>
        <v>0</v>
      </c>
      <c r="AN15" s="57">
        <f>VLOOKUP($AD15,'Dummy Table'!$B$4:$I$29,8,FALSE)</f>
        <v>0</v>
      </c>
      <c r="AO15" s="57">
        <f>VLOOKUP($AD15,'Dummy Table'!$B$4:$J$29,9,FALSE)</f>
        <v>0</v>
      </c>
      <c r="AP15" s="57">
        <f>VLOOKUP($AD15,'Dummy Table'!$B$4:$M$29,12,FALSE)+VLOOKUP($AD15,'Dummy Table'!$B$4:$N$29,13,FALSE)</f>
        <v>4</v>
      </c>
      <c r="AQ15" s="57">
        <f>VLOOKUP($AD15,'Dummy Table'!$B$4:$O$29,14,FALSE)</f>
        <v>4</v>
      </c>
      <c r="DL15" s="44"/>
    </row>
    <row r="16" spans="2:116" s="43" customFormat="1" ht="18" customHeight="1" x14ac:dyDescent="0.3">
      <c r="D16" s="50">
        <v>4</v>
      </c>
      <c r="E16" s="51" t="s">
        <v>9</v>
      </c>
      <c r="F16" s="52">
        <v>42266</v>
      </c>
      <c r="G16" s="53">
        <v>0.69791666666666663</v>
      </c>
      <c r="H16" s="54" t="s">
        <v>40</v>
      </c>
      <c r="J16" s="51" t="str">
        <f>IF('Prediction Sheet'!H16&lt;&gt;"",'Prediction Sheet'!H16,"")</f>
        <v/>
      </c>
      <c r="K16" s="55" t="s">
        <v>25</v>
      </c>
      <c r="L16" s="51" t="str">
        <f>IF('Prediction Sheet'!J16&lt;&gt;"",'Prediction Sheet'!J16,"")</f>
        <v/>
      </c>
      <c r="N16" s="56" t="s">
        <v>7</v>
      </c>
      <c r="O16" s="51" t="str">
        <f>IF('Prediction Sheet'!L16&lt;&gt;"",'Prediction Sheet'!L16,"")</f>
        <v/>
      </c>
      <c r="P16" s="50" t="s">
        <v>25</v>
      </c>
      <c r="Q16" s="51" t="str">
        <f>IF('Prediction Sheet'!N16&lt;&gt;"",'Prediction Sheet'!N16,"")</f>
        <v/>
      </c>
      <c r="R16" s="43" t="s">
        <v>41</v>
      </c>
      <c r="AB16" s="47"/>
      <c r="AC16" s="57">
        <v>5</v>
      </c>
      <c r="AD16" s="117" t="str">
        <f>VLOOKUP(5,'Dummy Table'!$A$4:$B$8,2,FALSE)</f>
        <v>England</v>
      </c>
      <c r="AE16" s="117"/>
      <c r="AF16" s="117"/>
      <c r="AG16" s="57">
        <f>SUM(AH16:AJ16)</f>
        <v>0</v>
      </c>
      <c r="AH16" s="57">
        <f>VLOOKUP(AD16,'Dummy Table'!$B$4:$C$29,2,FALSE)</f>
        <v>0</v>
      </c>
      <c r="AI16" s="57">
        <f>VLOOKUP($AD16,'Dummy Table'!$B$4:$D$29,3,FALSE)</f>
        <v>0</v>
      </c>
      <c r="AJ16" s="57">
        <f>VLOOKUP($AD16,'Dummy Table'!$B$4:$E$29,4,FALSE)</f>
        <v>0</v>
      </c>
      <c r="AK16" s="57">
        <f>VLOOKUP($AD16,'Dummy Table'!$B$4:$F$29,5,FALSE)</f>
        <v>0</v>
      </c>
      <c r="AL16" s="57">
        <f>VLOOKUP($AD16,'Dummy Table'!$B$4:$G$29,6,FALSE)</f>
        <v>0</v>
      </c>
      <c r="AM16" s="57">
        <f t="shared" si="0"/>
        <v>0</v>
      </c>
      <c r="AN16" s="57">
        <f>VLOOKUP($AD16,'Dummy Table'!$B$4:$I$29,8,FALSE)</f>
        <v>0</v>
      </c>
      <c r="AO16" s="57">
        <f>VLOOKUP($AD16,'Dummy Table'!$B$4:$J$29,9,FALSE)</f>
        <v>0</v>
      </c>
      <c r="AP16" s="57">
        <f>VLOOKUP($AD16,'Dummy Table'!$B$4:$M$29,12,FALSE)+VLOOKUP($AD16,'Dummy Table'!$B$4:$N$29,13,FALSE)</f>
        <v>4</v>
      </c>
      <c r="AQ16" s="57">
        <f>VLOOKUP($AD16,'Dummy Table'!$B$4:$O$29,14,FALSE)</f>
        <v>4</v>
      </c>
      <c r="DL16" s="44"/>
    </row>
    <row r="17" spans="4:116" s="43" customFormat="1" ht="18" customHeight="1" x14ac:dyDescent="0.3">
      <c r="D17" s="50">
        <v>5</v>
      </c>
      <c r="E17" s="51" t="s">
        <v>20</v>
      </c>
      <c r="F17" s="52">
        <v>42266</v>
      </c>
      <c r="G17" s="53">
        <v>0.83333333333333337</v>
      </c>
      <c r="H17" s="54" t="s">
        <v>18</v>
      </c>
      <c r="J17" s="51" t="str">
        <f>IF('Prediction Sheet'!H17&lt;&gt;"",'Prediction Sheet'!H17,"")</f>
        <v/>
      </c>
      <c r="K17" s="55" t="s">
        <v>25</v>
      </c>
      <c r="L17" s="51" t="str">
        <f>IF('Prediction Sheet'!J17&lt;&gt;"",'Prediction Sheet'!J17,"")</f>
        <v/>
      </c>
      <c r="N17" s="56" t="s">
        <v>17</v>
      </c>
      <c r="O17" s="51" t="str">
        <f>IF('Prediction Sheet'!L17&lt;&gt;"",'Prediction Sheet'!L17,"")</f>
        <v/>
      </c>
      <c r="P17" s="50" t="s">
        <v>25</v>
      </c>
      <c r="Q17" s="51" t="str">
        <f>IF('Prediction Sheet'!N17&lt;&gt;"",'Prediction Sheet'!N17,"")</f>
        <v/>
      </c>
      <c r="R17" s="43" t="s">
        <v>33</v>
      </c>
      <c r="AB17" s="47"/>
      <c r="AQ17" s="42"/>
      <c r="DL17" s="44"/>
    </row>
    <row r="18" spans="4:116" s="43" customFormat="1" ht="18" customHeight="1" x14ac:dyDescent="0.3">
      <c r="D18" s="50">
        <v>6</v>
      </c>
      <c r="E18" s="51" t="s">
        <v>9</v>
      </c>
      <c r="F18" s="52">
        <v>42267</v>
      </c>
      <c r="G18" s="53">
        <v>0.5</v>
      </c>
      <c r="H18" s="54" t="s">
        <v>42</v>
      </c>
      <c r="J18" s="51" t="str">
        <f>IF('Prediction Sheet'!H18&lt;&gt;"",'Prediction Sheet'!H18,"")</f>
        <v/>
      </c>
      <c r="K18" s="55" t="s">
        <v>25</v>
      </c>
      <c r="L18" s="51" t="str">
        <f>IF('Prediction Sheet'!J18&lt;&gt;"",'Prediction Sheet'!J18,"")</f>
        <v/>
      </c>
      <c r="N18" s="56" t="s">
        <v>5</v>
      </c>
      <c r="O18" s="51" t="str">
        <f>IF('Prediction Sheet'!L18&lt;&gt;"",'Prediction Sheet'!L18,"")</f>
        <v/>
      </c>
      <c r="P18" s="50" t="s">
        <v>25</v>
      </c>
      <c r="Q18" s="51" t="str">
        <f>IF('Prediction Sheet'!N18&lt;&gt;"",'Prediction Sheet'!N18,"")</f>
        <v/>
      </c>
      <c r="R18" s="43" t="s">
        <v>41</v>
      </c>
      <c r="AB18" s="47"/>
      <c r="AC18" s="63" t="s">
        <v>62</v>
      </c>
      <c r="AD18" s="64"/>
      <c r="AE18" s="58"/>
      <c r="AF18" s="58"/>
      <c r="AG18" s="62" t="s">
        <v>0</v>
      </c>
      <c r="AH18" s="62" t="s">
        <v>19</v>
      </c>
      <c r="AI18" s="62" t="s">
        <v>20</v>
      </c>
      <c r="AJ18" s="62" t="s">
        <v>21</v>
      </c>
      <c r="AK18" s="62" t="s">
        <v>71</v>
      </c>
      <c r="AL18" s="62" t="s">
        <v>72</v>
      </c>
      <c r="AM18" s="62" t="s">
        <v>73</v>
      </c>
      <c r="AN18" s="62" t="s">
        <v>59</v>
      </c>
      <c r="AO18" s="62" t="s">
        <v>58</v>
      </c>
      <c r="AP18" s="62" t="s">
        <v>60</v>
      </c>
      <c r="AQ18" s="62" t="s">
        <v>57</v>
      </c>
      <c r="DL18" s="44"/>
    </row>
    <row r="19" spans="4:116" s="43" customFormat="1" ht="18" customHeight="1" x14ac:dyDescent="0.3">
      <c r="D19" s="50">
        <v>7</v>
      </c>
      <c r="E19" s="51" t="s">
        <v>22</v>
      </c>
      <c r="F19" s="52">
        <v>42267</v>
      </c>
      <c r="G19" s="53">
        <v>0.60416666666666663</v>
      </c>
      <c r="H19" s="54" t="s">
        <v>43</v>
      </c>
      <c r="J19" s="51" t="str">
        <f>IF('Prediction Sheet'!H19&lt;&gt;"",'Prediction Sheet'!H19,"")</f>
        <v/>
      </c>
      <c r="K19" s="55" t="s">
        <v>25</v>
      </c>
      <c r="L19" s="51" t="str">
        <f>IF('Prediction Sheet'!J19&lt;&gt;"",'Prediction Sheet'!J19,"")</f>
        <v/>
      </c>
      <c r="N19" s="56" t="s">
        <v>2</v>
      </c>
      <c r="O19" s="51" t="str">
        <f>IF('Prediction Sheet'!L19&lt;&gt;"",'Prediction Sheet'!L19,"")</f>
        <v/>
      </c>
      <c r="P19" s="50" t="s">
        <v>25</v>
      </c>
      <c r="Q19" s="51" t="str">
        <f>IF('Prediction Sheet'!N19&lt;&gt;"",'Prediction Sheet'!N19,"")</f>
        <v/>
      </c>
      <c r="R19" s="43" t="s">
        <v>39</v>
      </c>
      <c r="AB19" s="47"/>
      <c r="AC19" s="57">
        <v>1</v>
      </c>
      <c r="AD19" s="117" t="str">
        <f>VLOOKUP(1,'Dummy Table'!$A$11:$B$15,2,FALSE)</f>
        <v>USA</v>
      </c>
      <c r="AE19" s="117"/>
      <c r="AF19" s="117"/>
      <c r="AG19" s="57">
        <f t="shared" ref="AG19:AG23" si="1">SUM(AH19:AJ19)</f>
        <v>0</v>
      </c>
      <c r="AH19" s="57">
        <f>VLOOKUP(AD19,'Dummy Table'!$B$4:$C$29,2,FALSE)</f>
        <v>0</v>
      </c>
      <c r="AI19" s="57">
        <f>VLOOKUP($AD19,'Dummy Table'!$B$4:$D$29,3,FALSE)</f>
        <v>0</v>
      </c>
      <c r="AJ19" s="57">
        <f>VLOOKUP($AD19,'Dummy Table'!$B$4:$E$29,4,FALSE)</f>
        <v>0</v>
      </c>
      <c r="AK19" s="57">
        <f>VLOOKUP($AD19,'Dummy Table'!$B$4:$F$29,5,FALSE)</f>
        <v>0</v>
      </c>
      <c r="AL19" s="57">
        <f>VLOOKUP($AD19,'Dummy Table'!$B$4:$G$29,6,FALSE)</f>
        <v>0</v>
      </c>
      <c r="AM19" s="57">
        <f>AK19-AL19</f>
        <v>0</v>
      </c>
      <c r="AN19" s="57">
        <f>VLOOKUP($AD19,'Dummy Table'!$B$4:$I$29,8,FALSE)</f>
        <v>0</v>
      </c>
      <c r="AO19" s="57">
        <f>VLOOKUP($AD19,'Dummy Table'!$B$4:$J$29,9,FALSE)</f>
        <v>0</v>
      </c>
      <c r="AP19" s="57">
        <f>VLOOKUP($AD19,'Dummy Table'!$B$4:$M$29,12,FALSE)+VLOOKUP($AD19,'Dummy Table'!$B$4:$N$29,13,FALSE)</f>
        <v>4</v>
      </c>
      <c r="AQ19" s="57">
        <f>VLOOKUP($AD19,'Dummy Table'!$B$4:$O$29,14,FALSE)</f>
        <v>4</v>
      </c>
      <c r="DL19" s="44"/>
    </row>
    <row r="20" spans="4:116" s="43" customFormat="1" ht="18" customHeight="1" x14ac:dyDescent="0.3">
      <c r="D20" s="50">
        <v>8</v>
      </c>
      <c r="E20" s="51" t="s">
        <v>10</v>
      </c>
      <c r="F20" s="52">
        <v>42267</v>
      </c>
      <c r="G20" s="53">
        <v>0.69791666666666663</v>
      </c>
      <c r="H20" s="54" t="s">
        <v>44</v>
      </c>
      <c r="J20" s="51" t="str">
        <f>IF('Prediction Sheet'!H20&lt;&gt;"",'Prediction Sheet'!H20,"")</f>
        <v/>
      </c>
      <c r="K20" s="55" t="s">
        <v>25</v>
      </c>
      <c r="L20" s="51" t="str">
        <f>IF('Prediction Sheet'!J20&lt;&gt;"",'Prediction Sheet'!J20,"")</f>
        <v/>
      </c>
      <c r="N20" s="56" t="s">
        <v>3</v>
      </c>
      <c r="O20" s="51" t="str">
        <f>IF('Prediction Sheet'!L20&lt;&gt;"",'Prediction Sheet'!L20,"")</f>
        <v/>
      </c>
      <c r="P20" s="50" t="s">
        <v>25</v>
      </c>
      <c r="Q20" s="51" t="str">
        <f>IF('Prediction Sheet'!N20&lt;&gt;"",'Prediction Sheet'!N20,"")</f>
        <v/>
      </c>
      <c r="R20" s="43" t="s">
        <v>45</v>
      </c>
      <c r="AB20" s="47"/>
      <c r="AC20" s="57">
        <v>2</v>
      </c>
      <c r="AD20" s="117" t="str">
        <f>VLOOKUP(2,'Dummy Table'!$A$11:$B$15,2,FALSE)</f>
        <v>Japan</v>
      </c>
      <c r="AE20" s="117"/>
      <c r="AF20" s="117"/>
      <c r="AG20" s="57">
        <f t="shared" si="1"/>
        <v>0</v>
      </c>
      <c r="AH20" s="57">
        <f>VLOOKUP(AD20,'Dummy Table'!$B$4:$C$29,2,FALSE)</f>
        <v>0</v>
      </c>
      <c r="AI20" s="57">
        <f>VLOOKUP($AD20,'Dummy Table'!$B$4:$D$29,3,FALSE)</f>
        <v>0</v>
      </c>
      <c r="AJ20" s="57">
        <f>VLOOKUP($AD20,'Dummy Table'!$B$4:$E$29,4,FALSE)</f>
        <v>0</v>
      </c>
      <c r="AK20" s="57">
        <f>VLOOKUP($AD20,'Dummy Table'!$B$4:$F$29,5,FALSE)</f>
        <v>0</v>
      </c>
      <c r="AL20" s="57">
        <f>VLOOKUP($AD20,'Dummy Table'!$B$4:$G$29,6,FALSE)</f>
        <v>0</v>
      </c>
      <c r="AM20" s="57">
        <f t="shared" ref="AM20:AM23" si="2">AK20-AL20</f>
        <v>0</v>
      </c>
      <c r="AN20" s="57">
        <f>VLOOKUP($AD20,'Dummy Table'!$B$4:$I$29,8,FALSE)</f>
        <v>0</v>
      </c>
      <c r="AO20" s="57">
        <f>VLOOKUP($AD20,'Dummy Table'!$B$4:$J$29,9,FALSE)</f>
        <v>0</v>
      </c>
      <c r="AP20" s="57">
        <f>VLOOKUP($AD20,'Dummy Table'!$B$4:$M$29,12,FALSE)+VLOOKUP($AD20,'Dummy Table'!$B$4:$N$29,13,FALSE)</f>
        <v>4</v>
      </c>
      <c r="AQ20" s="57">
        <f>VLOOKUP($AD20,'Dummy Table'!$B$4:$O$29,14,FALSE)</f>
        <v>4</v>
      </c>
      <c r="DL20" s="44"/>
    </row>
    <row r="21" spans="4:116" s="43" customFormat="1" ht="18" customHeight="1" x14ac:dyDescent="0.3">
      <c r="D21" s="50">
        <v>9</v>
      </c>
      <c r="E21" s="51" t="s">
        <v>9</v>
      </c>
      <c r="F21" s="52">
        <v>42270</v>
      </c>
      <c r="G21" s="53">
        <v>0.60416666666666663</v>
      </c>
      <c r="H21" s="54" t="s">
        <v>46</v>
      </c>
      <c r="J21" s="51" t="str">
        <f>IF('Prediction Sheet'!H21&lt;&gt;"",'Prediction Sheet'!H21,"")</f>
        <v/>
      </c>
      <c r="K21" s="55" t="s">
        <v>25</v>
      </c>
      <c r="L21" s="51" t="str">
        <f>IF('Prediction Sheet'!J21&lt;&gt;"",'Prediction Sheet'!J21,"")</f>
        <v/>
      </c>
      <c r="N21" s="56" t="s">
        <v>7</v>
      </c>
      <c r="O21" s="51" t="str">
        <f>IF('Prediction Sheet'!L21&lt;&gt;"",'Prediction Sheet'!L21,"")</f>
        <v/>
      </c>
      <c r="P21" s="50" t="s">
        <v>25</v>
      </c>
      <c r="Q21" s="51" t="str">
        <f>IF('Prediction Sheet'!N21&lt;&gt;"",'Prediction Sheet'!N21,"")</f>
        <v/>
      </c>
      <c r="R21" s="43" t="s">
        <v>36</v>
      </c>
      <c r="AB21" s="47"/>
      <c r="AC21" s="57">
        <v>3</v>
      </c>
      <c r="AD21" s="117" t="str">
        <f>VLOOKUP(3,'Dummy Table'!$A$11:$B$15,2,FALSE)</f>
        <v>Scotland</v>
      </c>
      <c r="AE21" s="117"/>
      <c r="AF21" s="117"/>
      <c r="AG21" s="57">
        <f t="shared" si="1"/>
        <v>0</v>
      </c>
      <c r="AH21" s="57">
        <f>VLOOKUP(AD21,'Dummy Table'!$B$4:$C$29,2,FALSE)</f>
        <v>0</v>
      </c>
      <c r="AI21" s="57">
        <f>VLOOKUP($AD21,'Dummy Table'!$B$4:$D$29,3,FALSE)</f>
        <v>0</v>
      </c>
      <c r="AJ21" s="57">
        <f>VLOOKUP($AD21,'Dummy Table'!$B$4:$E$29,4,FALSE)</f>
        <v>0</v>
      </c>
      <c r="AK21" s="57">
        <f>VLOOKUP($AD21,'Dummy Table'!$B$4:$F$29,5,FALSE)</f>
        <v>0</v>
      </c>
      <c r="AL21" s="57">
        <f>VLOOKUP($AD21,'Dummy Table'!$B$4:$G$29,6,FALSE)</f>
        <v>0</v>
      </c>
      <c r="AM21" s="57">
        <f t="shared" si="2"/>
        <v>0</v>
      </c>
      <c r="AN21" s="57">
        <f>VLOOKUP($AD21,'Dummy Table'!$B$4:$I$29,8,FALSE)</f>
        <v>0</v>
      </c>
      <c r="AO21" s="57">
        <f>VLOOKUP($AD21,'Dummy Table'!$B$4:$J$29,9,FALSE)</f>
        <v>0</v>
      </c>
      <c r="AP21" s="57">
        <f>VLOOKUP($AD21,'Dummy Table'!$B$4:$M$29,12,FALSE)+VLOOKUP($AD21,'Dummy Table'!$B$4:$N$29,13,FALSE)</f>
        <v>4</v>
      </c>
      <c r="AQ21" s="57">
        <f>VLOOKUP($AD21,'Dummy Table'!$B$4:$O$29,14,FALSE)</f>
        <v>4</v>
      </c>
      <c r="DL21" s="44"/>
    </row>
    <row r="22" spans="4:116" s="43" customFormat="1" ht="18" customHeight="1" x14ac:dyDescent="0.3">
      <c r="D22" s="50">
        <v>10</v>
      </c>
      <c r="E22" s="51" t="s">
        <v>22</v>
      </c>
      <c r="F22" s="52">
        <v>42270</v>
      </c>
      <c r="G22" s="53">
        <v>0.69791666666666663</v>
      </c>
      <c r="H22" s="54" t="s">
        <v>6</v>
      </c>
      <c r="J22" s="51" t="str">
        <f>IF('Prediction Sheet'!H22&lt;&gt;"",'Prediction Sheet'!H22,"")</f>
        <v/>
      </c>
      <c r="K22" s="55" t="s">
        <v>25</v>
      </c>
      <c r="L22" s="51" t="str">
        <f>IF('Prediction Sheet'!J22&lt;&gt;"",'Prediction Sheet'!J22,"")</f>
        <v/>
      </c>
      <c r="N22" s="56" t="s">
        <v>29</v>
      </c>
      <c r="O22" s="51" t="str">
        <f>IF('Prediction Sheet'!L22&lt;&gt;"",'Prediction Sheet'!L22,"")</f>
        <v/>
      </c>
      <c r="P22" s="50" t="s">
        <v>25</v>
      </c>
      <c r="Q22" s="51" t="str">
        <f>IF('Prediction Sheet'!N22&lt;&gt;"",'Prediction Sheet'!N22,"")</f>
        <v/>
      </c>
      <c r="R22" s="43" t="s">
        <v>39</v>
      </c>
      <c r="AB22" s="47"/>
      <c r="AC22" s="57">
        <v>4</v>
      </c>
      <c r="AD22" s="117" t="str">
        <f>VLOOKUP(4,'Dummy Table'!$A$11:$B$15,2,FALSE)</f>
        <v>Samoa</v>
      </c>
      <c r="AE22" s="117"/>
      <c r="AF22" s="117"/>
      <c r="AG22" s="57">
        <f t="shared" si="1"/>
        <v>0</v>
      </c>
      <c r="AH22" s="57">
        <f>VLOOKUP(AD22,'Dummy Table'!$B$4:$C$29,2,FALSE)</f>
        <v>0</v>
      </c>
      <c r="AI22" s="57">
        <f>VLOOKUP($AD22,'Dummy Table'!$B$4:$D$29,3,FALSE)</f>
        <v>0</v>
      </c>
      <c r="AJ22" s="57">
        <f>VLOOKUP($AD22,'Dummy Table'!$B$4:$E$29,4,FALSE)</f>
        <v>0</v>
      </c>
      <c r="AK22" s="57">
        <f>VLOOKUP($AD22,'Dummy Table'!$B$4:$F$29,5,FALSE)</f>
        <v>0</v>
      </c>
      <c r="AL22" s="57">
        <f>VLOOKUP($AD22,'Dummy Table'!$B$4:$G$29,6,FALSE)</f>
        <v>0</v>
      </c>
      <c r="AM22" s="57">
        <f t="shared" si="2"/>
        <v>0</v>
      </c>
      <c r="AN22" s="57">
        <f>VLOOKUP($AD22,'Dummy Table'!$B$4:$I$29,8,FALSE)</f>
        <v>0</v>
      </c>
      <c r="AO22" s="57">
        <f>VLOOKUP($AD22,'Dummy Table'!$B$4:$J$29,9,FALSE)</f>
        <v>0</v>
      </c>
      <c r="AP22" s="57">
        <f>VLOOKUP($AD22,'Dummy Table'!$B$4:$M$29,12,FALSE)+VLOOKUP($AD22,'Dummy Table'!$B$4:$N$29,13,FALSE)</f>
        <v>4</v>
      </c>
      <c r="AQ22" s="57">
        <f>VLOOKUP($AD22,'Dummy Table'!$B$4:$O$29,14,FALSE)</f>
        <v>4</v>
      </c>
      <c r="DL22" s="44"/>
    </row>
    <row r="23" spans="4:116" s="43" customFormat="1" ht="18" customHeight="1" x14ac:dyDescent="0.3">
      <c r="D23" s="50">
        <v>11</v>
      </c>
      <c r="E23" s="51" t="s">
        <v>20</v>
      </c>
      <c r="F23" s="52">
        <v>42270</v>
      </c>
      <c r="G23" s="53">
        <v>0.83333333333333337</v>
      </c>
      <c r="H23" s="54" t="s">
        <v>18</v>
      </c>
      <c r="J23" s="51" t="str">
        <f>IF('Prediction Sheet'!H23&lt;&gt;"",'Prediction Sheet'!H23,"")</f>
        <v/>
      </c>
      <c r="K23" s="55" t="s">
        <v>25</v>
      </c>
      <c r="L23" s="51" t="str">
        <f>IF('Prediction Sheet'!J23&lt;&gt;"",'Prediction Sheet'!J23,"")</f>
        <v/>
      </c>
      <c r="N23" s="56" t="s">
        <v>47</v>
      </c>
      <c r="O23" s="51" t="str">
        <f>IF('Prediction Sheet'!L23&lt;&gt;"",'Prediction Sheet'!L23,"")</f>
        <v/>
      </c>
      <c r="P23" s="50" t="s">
        <v>25</v>
      </c>
      <c r="Q23" s="51" t="str">
        <f>IF('Prediction Sheet'!N23&lt;&gt;"",'Prediction Sheet'!N23,"")</f>
        <v/>
      </c>
      <c r="R23" s="43" t="s">
        <v>48</v>
      </c>
      <c r="AB23" s="47"/>
      <c r="AC23" s="57">
        <v>5</v>
      </c>
      <c r="AD23" s="117" t="str">
        <f>VLOOKUP(5,'Dummy Table'!$A$11:$B$15,2,FALSE)</f>
        <v>South Africa</v>
      </c>
      <c r="AE23" s="117"/>
      <c r="AF23" s="117"/>
      <c r="AG23" s="57">
        <f t="shared" si="1"/>
        <v>0</v>
      </c>
      <c r="AH23" s="57">
        <f>VLOOKUP(AD23,'Dummy Table'!$B$4:$C$29,2,FALSE)</f>
        <v>0</v>
      </c>
      <c r="AI23" s="57">
        <f>VLOOKUP($AD23,'Dummy Table'!$B$4:$D$29,3,FALSE)</f>
        <v>0</v>
      </c>
      <c r="AJ23" s="57">
        <f>VLOOKUP($AD23,'Dummy Table'!$B$4:$E$29,4,FALSE)</f>
        <v>0</v>
      </c>
      <c r="AK23" s="57">
        <f>VLOOKUP($AD23,'Dummy Table'!$B$4:$F$29,5,FALSE)</f>
        <v>0</v>
      </c>
      <c r="AL23" s="57">
        <f>VLOOKUP($AD23,'Dummy Table'!$B$4:$G$29,6,FALSE)</f>
        <v>0</v>
      </c>
      <c r="AM23" s="57">
        <f t="shared" si="2"/>
        <v>0</v>
      </c>
      <c r="AN23" s="57">
        <f>VLOOKUP($AD23,'Dummy Table'!$B$4:$I$29,8,FALSE)</f>
        <v>0</v>
      </c>
      <c r="AO23" s="57">
        <f>VLOOKUP($AD23,'Dummy Table'!$B$4:$J$29,9,FALSE)</f>
        <v>0</v>
      </c>
      <c r="AP23" s="57">
        <f>VLOOKUP($AD23,'Dummy Table'!$B$4:$M$29,12,FALSE)+VLOOKUP($AD23,'Dummy Table'!$B$4:$N$29,13,FALSE)</f>
        <v>4</v>
      </c>
      <c r="AQ23" s="57">
        <f>VLOOKUP($AD23,'Dummy Table'!$B$4:$O$29,14,FALSE)</f>
        <v>4</v>
      </c>
      <c r="DL23" s="44"/>
    </row>
    <row r="24" spans="4:116" s="43" customFormat="1" ht="18" customHeight="1" x14ac:dyDescent="0.3">
      <c r="D24" s="50">
        <v>12</v>
      </c>
      <c r="E24" s="51" t="s">
        <v>10</v>
      </c>
      <c r="F24" s="52">
        <v>42271</v>
      </c>
      <c r="G24" s="53">
        <v>0.83333333333333337</v>
      </c>
      <c r="H24" s="54" t="s">
        <v>44</v>
      </c>
      <c r="J24" s="51" t="str">
        <f>IF('Prediction Sheet'!H24&lt;&gt;"",'Prediction Sheet'!H24,"")</f>
        <v/>
      </c>
      <c r="K24" s="55" t="s">
        <v>25</v>
      </c>
      <c r="L24" s="51" t="str">
        <f>IF('Prediction Sheet'!J24&lt;&gt;"",'Prediction Sheet'!J24,"")</f>
        <v/>
      </c>
      <c r="N24" s="56" t="s">
        <v>49</v>
      </c>
      <c r="O24" s="51" t="str">
        <f>IF('Prediction Sheet'!L24&lt;&gt;"",'Prediction Sheet'!L24,"")</f>
        <v/>
      </c>
      <c r="P24" s="50" t="s">
        <v>25</v>
      </c>
      <c r="Q24" s="51" t="str">
        <f>IF('Prediction Sheet'!N24&lt;&gt;"",'Prediction Sheet'!N24,"")</f>
        <v/>
      </c>
      <c r="R24" s="43" t="s">
        <v>48</v>
      </c>
      <c r="AB24" s="47"/>
      <c r="AQ24" s="42"/>
      <c r="DL24" s="44"/>
    </row>
    <row r="25" spans="4:116" s="43" customFormat="1" ht="18" customHeight="1" x14ac:dyDescent="0.3">
      <c r="D25" s="50">
        <v>13</v>
      </c>
      <c r="E25" s="51" t="s">
        <v>10</v>
      </c>
      <c r="F25" s="52">
        <v>42272</v>
      </c>
      <c r="G25" s="53">
        <v>0.69791666666666663</v>
      </c>
      <c r="H25" s="54" t="s">
        <v>3</v>
      </c>
      <c r="J25" s="51" t="str">
        <f>IF('Prediction Sheet'!H25&lt;&gt;"",'Prediction Sheet'!H25,"")</f>
        <v/>
      </c>
      <c r="K25" s="55" t="s">
        <v>25</v>
      </c>
      <c r="L25" s="51" t="str">
        <f>IF('Prediction Sheet'!J25&lt;&gt;"",'Prediction Sheet'!J25,"")</f>
        <v/>
      </c>
      <c r="N25" s="56" t="s">
        <v>35</v>
      </c>
      <c r="O25" s="51" t="str">
        <f>IF('Prediction Sheet'!L25&lt;&gt;"",'Prediction Sheet'!L25,"")</f>
        <v/>
      </c>
      <c r="P25" s="50" t="s">
        <v>25</v>
      </c>
      <c r="Q25" s="51" t="str">
        <f>IF('Prediction Sheet'!N25&lt;&gt;"",'Prediction Sheet'!N25,"")</f>
        <v/>
      </c>
      <c r="R25" s="43" t="s">
        <v>36</v>
      </c>
      <c r="AB25" s="47"/>
      <c r="AC25" s="63" t="s">
        <v>63</v>
      </c>
      <c r="AD25" s="64"/>
      <c r="AE25" s="58"/>
      <c r="AF25" s="58"/>
      <c r="AG25" s="62" t="s">
        <v>0</v>
      </c>
      <c r="AH25" s="62" t="s">
        <v>19</v>
      </c>
      <c r="AI25" s="62" t="s">
        <v>20</v>
      </c>
      <c r="AJ25" s="62" t="s">
        <v>21</v>
      </c>
      <c r="AK25" s="62" t="s">
        <v>71</v>
      </c>
      <c r="AL25" s="62" t="s">
        <v>72</v>
      </c>
      <c r="AM25" s="62" t="s">
        <v>73</v>
      </c>
      <c r="AN25" s="62" t="s">
        <v>59</v>
      </c>
      <c r="AO25" s="62" t="s">
        <v>58</v>
      </c>
      <c r="AP25" s="62" t="s">
        <v>60</v>
      </c>
      <c r="AQ25" s="62" t="s">
        <v>57</v>
      </c>
      <c r="DL25" s="44"/>
    </row>
    <row r="26" spans="4:116" s="43" customFormat="1" ht="18" customHeight="1" x14ac:dyDescent="0.3">
      <c r="D26" s="50">
        <v>14</v>
      </c>
      <c r="E26" s="51" t="s">
        <v>20</v>
      </c>
      <c r="F26" s="52">
        <v>42273</v>
      </c>
      <c r="G26" s="53">
        <v>0.60416666666666663</v>
      </c>
      <c r="H26" s="54" t="s">
        <v>17</v>
      </c>
      <c r="J26" s="51" t="str">
        <f>IF('Prediction Sheet'!H26&lt;&gt;"",'Prediction Sheet'!H26,"")</f>
        <v/>
      </c>
      <c r="K26" s="55" t="s">
        <v>25</v>
      </c>
      <c r="L26" s="51" t="str">
        <f>IF('Prediction Sheet'!J26&lt;&gt;"",'Prediction Sheet'!J26,"")</f>
        <v/>
      </c>
      <c r="N26" s="56" t="s">
        <v>38</v>
      </c>
      <c r="O26" s="51" t="str">
        <f>IF('Prediction Sheet'!L26&lt;&gt;"",'Prediction Sheet'!L26,"")</f>
        <v/>
      </c>
      <c r="P26" s="50" t="s">
        <v>25</v>
      </c>
      <c r="Q26" s="51" t="str">
        <f>IF('Prediction Sheet'!N26&lt;&gt;"",'Prediction Sheet'!N26,"")</f>
        <v/>
      </c>
      <c r="R26" s="43" t="s">
        <v>50</v>
      </c>
      <c r="AB26" s="47"/>
      <c r="AC26" s="57">
        <v>1</v>
      </c>
      <c r="AD26" s="117" t="str">
        <f>VLOOKUP(1,'Dummy Table'!$A$18:$B$22,2,FALSE)</f>
        <v>Namibia</v>
      </c>
      <c r="AE26" s="117"/>
      <c r="AF26" s="117"/>
      <c r="AG26" s="57">
        <f t="shared" ref="AG26:AG30" si="3">SUM(AH26:AJ26)</f>
        <v>0</v>
      </c>
      <c r="AH26" s="57">
        <f>VLOOKUP(AD26,'Dummy Table'!$B$4:$C$29,2,FALSE)</f>
        <v>0</v>
      </c>
      <c r="AI26" s="57">
        <f>VLOOKUP($AD26,'Dummy Table'!$B$4:$D$29,3,FALSE)</f>
        <v>0</v>
      </c>
      <c r="AJ26" s="57">
        <f>VLOOKUP($AD26,'Dummy Table'!$B$4:$E$29,4,FALSE)</f>
        <v>0</v>
      </c>
      <c r="AK26" s="57">
        <f>VLOOKUP($AD26,'Dummy Table'!$B$4:$F$29,5,FALSE)</f>
        <v>0</v>
      </c>
      <c r="AL26" s="57">
        <f>VLOOKUP($AD26,'Dummy Table'!$B$4:$G$29,6,FALSE)</f>
        <v>0</v>
      </c>
      <c r="AM26" s="57">
        <f>AK26-AL26</f>
        <v>0</v>
      </c>
      <c r="AN26" s="57">
        <f>VLOOKUP($AD26,'Dummy Table'!$B$4:$I$29,8,FALSE)</f>
        <v>0</v>
      </c>
      <c r="AO26" s="57">
        <f>VLOOKUP($AD26,'Dummy Table'!$B$4:$J$29,9,FALSE)</f>
        <v>0</v>
      </c>
      <c r="AP26" s="57">
        <f>VLOOKUP($AD26,'Dummy Table'!$B$4:$M$29,12,FALSE)+VLOOKUP($AD26,'Dummy Table'!$B$4:$N$29,13,FALSE)</f>
        <v>4</v>
      </c>
      <c r="AQ26" s="57">
        <f>VLOOKUP($AD26,'Dummy Table'!$B$4:$O$29,14,FALSE)</f>
        <v>4</v>
      </c>
      <c r="DL26" s="44"/>
    </row>
    <row r="27" spans="4:116" s="43" customFormat="1" ht="18" customHeight="1" x14ac:dyDescent="0.3">
      <c r="D27" s="50">
        <v>15</v>
      </c>
      <c r="E27" s="51" t="s">
        <v>9</v>
      </c>
      <c r="F27" s="52">
        <v>42273</v>
      </c>
      <c r="G27" s="53">
        <v>0.69791666666666663</v>
      </c>
      <c r="H27" s="54" t="s">
        <v>40</v>
      </c>
      <c r="J27" s="51" t="str">
        <f>IF('Prediction Sheet'!H27&lt;&gt;"",'Prediction Sheet'!H27,"")</f>
        <v/>
      </c>
      <c r="K27" s="55" t="s">
        <v>25</v>
      </c>
      <c r="L27" s="51" t="str">
        <f>IF('Prediction Sheet'!J27&lt;&gt;"",'Prediction Sheet'!J27,"")</f>
        <v/>
      </c>
      <c r="N27" s="56" t="s">
        <v>42</v>
      </c>
      <c r="O27" s="51" t="str">
        <f>IF('Prediction Sheet'!L27&lt;&gt;"",'Prediction Sheet'!L27,"")</f>
        <v/>
      </c>
      <c r="P27" s="50" t="s">
        <v>25</v>
      </c>
      <c r="Q27" s="51" t="str">
        <f>IF('Prediction Sheet'!N27&lt;&gt;"",'Prediction Sheet'!N27,"")</f>
        <v/>
      </c>
      <c r="R27" s="43" t="s">
        <v>51</v>
      </c>
      <c r="AB27" s="47"/>
      <c r="AC27" s="57">
        <v>2</v>
      </c>
      <c r="AD27" s="117" t="str">
        <f>VLOOKUP(2,'Dummy Table'!$A$18:$B$22,2,FALSE)</f>
        <v>Georgia</v>
      </c>
      <c r="AE27" s="117"/>
      <c r="AF27" s="117"/>
      <c r="AG27" s="57">
        <f t="shared" si="3"/>
        <v>0</v>
      </c>
      <c r="AH27" s="57">
        <f>VLOOKUP(AD27,'Dummy Table'!$B$4:$C$29,2,FALSE)</f>
        <v>0</v>
      </c>
      <c r="AI27" s="57">
        <f>VLOOKUP($AD27,'Dummy Table'!$B$4:$D$29,3,FALSE)</f>
        <v>0</v>
      </c>
      <c r="AJ27" s="57">
        <f>VLOOKUP($AD27,'Dummy Table'!$B$4:$E$29,4,FALSE)</f>
        <v>0</v>
      </c>
      <c r="AK27" s="57">
        <f>VLOOKUP($AD27,'Dummy Table'!$B$4:$F$29,5,FALSE)</f>
        <v>0</v>
      </c>
      <c r="AL27" s="57">
        <f>VLOOKUP($AD27,'Dummy Table'!$B$4:$G$29,6,FALSE)</f>
        <v>0</v>
      </c>
      <c r="AM27" s="57">
        <f t="shared" ref="AM27:AM30" si="4">AK27-AL27</f>
        <v>0</v>
      </c>
      <c r="AN27" s="57">
        <f>VLOOKUP($AD27,'Dummy Table'!$B$4:$I$29,8,FALSE)</f>
        <v>0</v>
      </c>
      <c r="AO27" s="57">
        <f>VLOOKUP($AD27,'Dummy Table'!$B$4:$J$29,9,FALSE)</f>
        <v>0</v>
      </c>
      <c r="AP27" s="57">
        <f>VLOOKUP($AD27,'Dummy Table'!$B$4:$M$29,12,FALSE)+VLOOKUP($AD27,'Dummy Table'!$B$4:$N$29,13,FALSE)</f>
        <v>4</v>
      </c>
      <c r="AQ27" s="57">
        <f>VLOOKUP($AD27,'Dummy Table'!$B$4:$O$29,14,FALSE)</f>
        <v>4</v>
      </c>
      <c r="DL27" s="44"/>
    </row>
    <row r="28" spans="4:116" s="43" customFormat="1" ht="18" customHeight="1" x14ac:dyDescent="0.3">
      <c r="D28" s="50">
        <v>16</v>
      </c>
      <c r="E28" s="51" t="s">
        <v>22</v>
      </c>
      <c r="F28" s="52">
        <v>42273</v>
      </c>
      <c r="G28" s="53">
        <v>0.83333333333333337</v>
      </c>
      <c r="H28" s="54" t="s">
        <v>4</v>
      </c>
      <c r="J28" s="51" t="str">
        <f>IF('Prediction Sheet'!H28&lt;&gt;"",'Prediction Sheet'!H28,"")</f>
        <v/>
      </c>
      <c r="K28" s="55" t="s">
        <v>25</v>
      </c>
      <c r="L28" s="51" t="str">
        <f>IF('Prediction Sheet'!J28&lt;&gt;"",'Prediction Sheet'!J28,"")</f>
        <v/>
      </c>
      <c r="N28" s="56" t="s">
        <v>43</v>
      </c>
      <c r="O28" s="51" t="str">
        <f>IF('Prediction Sheet'!L28&lt;&gt;"",'Prediction Sheet'!L28,"")</f>
        <v/>
      </c>
      <c r="P28" s="50" t="s">
        <v>25</v>
      </c>
      <c r="Q28" s="51" t="str">
        <f>IF('Prediction Sheet'!N28&lt;&gt;"",'Prediction Sheet'!N28,"")</f>
        <v/>
      </c>
      <c r="R28" s="43" t="s">
        <v>33</v>
      </c>
      <c r="AB28" s="47"/>
      <c r="AC28" s="57">
        <v>3</v>
      </c>
      <c r="AD28" s="117" t="str">
        <f>VLOOKUP(3,'Dummy Table'!$A$18:$B$22,2,FALSE)</f>
        <v>Tonga</v>
      </c>
      <c r="AE28" s="117"/>
      <c r="AF28" s="117"/>
      <c r="AG28" s="57">
        <f t="shared" si="3"/>
        <v>0</v>
      </c>
      <c r="AH28" s="57">
        <f>VLOOKUP(AD28,'Dummy Table'!$B$4:$C$29,2,FALSE)</f>
        <v>0</v>
      </c>
      <c r="AI28" s="57">
        <f>VLOOKUP($AD28,'Dummy Table'!$B$4:$D$29,3,FALSE)</f>
        <v>0</v>
      </c>
      <c r="AJ28" s="57">
        <f>VLOOKUP($AD28,'Dummy Table'!$B$4:$E$29,4,FALSE)</f>
        <v>0</v>
      </c>
      <c r="AK28" s="57">
        <f>VLOOKUP($AD28,'Dummy Table'!$B$4:$F$29,5,FALSE)</f>
        <v>0</v>
      </c>
      <c r="AL28" s="57">
        <f>VLOOKUP($AD28,'Dummy Table'!$B$4:$G$29,6,FALSE)</f>
        <v>0</v>
      </c>
      <c r="AM28" s="57">
        <f t="shared" si="4"/>
        <v>0</v>
      </c>
      <c r="AN28" s="57">
        <f>VLOOKUP($AD28,'Dummy Table'!$B$4:$I$29,8,FALSE)</f>
        <v>0</v>
      </c>
      <c r="AO28" s="57">
        <f>VLOOKUP($AD28,'Dummy Table'!$B$4:$J$29,9,FALSE)</f>
        <v>0</v>
      </c>
      <c r="AP28" s="57">
        <f>VLOOKUP($AD28,'Dummy Table'!$B$4:$M$29,12,FALSE)+VLOOKUP($AD28,'Dummy Table'!$B$4:$N$29,13,FALSE)</f>
        <v>4</v>
      </c>
      <c r="AQ28" s="57">
        <f>VLOOKUP($AD28,'Dummy Table'!$B$4:$O$29,14,FALSE)</f>
        <v>4</v>
      </c>
      <c r="DL28" s="44"/>
    </row>
    <row r="29" spans="4:116" s="43" customFormat="1" ht="18" customHeight="1" x14ac:dyDescent="0.3">
      <c r="D29" s="50">
        <v>17</v>
      </c>
      <c r="E29" s="51" t="s">
        <v>22</v>
      </c>
      <c r="F29" s="52">
        <v>42274</v>
      </c>
      <c r="G29" s="53">
        <v>0.5</v>
      </c>
      <c r="H29" s="54" t="s">
        <v>6</v>
      </c>
      <c r="J29" s="51" t="str">
        <f>IF('Prediction Sheet'!H29&lt;&gt;"",'Prediction Sheet'!H29,"")</f>
        <v/>
      </c>
      <c r="K29" s="55" t="s">
        <v>25</v>
      </c>
      <c r="L29" s="51" t="str">
        <f>IF('Prediction Sheet'!J29&lt;&gt;"",'Prediction Sheet'!J29,"")</f>
        <v/>
      </c>
      <c r="N29" s="56" t="s">
        <v>2</v>
      </c>
      <c r="O29" s="51" t="str">
        <f>IF('Prediction Sheet'!L29&lt;&gt;"",'Prediction Sheet'!L29,"")</f>
        <v/>
      </c>
      <c r="P29" s="50" t="s">
        <v>25</v>
      </c>
      <c r="Q29" s="51" t="str">
        <f>IF('Prediction Sheet'!N29&lt;&gt;"",'Prediction Sheet'!N29,"")</f>
        <v/>
      </c>
      <c r="R29" s="43" t="s">
        <v>51</v>
      </c>
      <c r="AB29" s="47"/>
      <c r="AC29" s="57">
        <v>4</v>
      </c>
      <c r="AD29" s="117" t="str">
        <f>VLOOKUP(4,'Dummy Table'!$A$18:$B$22,2,FALSE)</f>
        <v>Argentina</v>
      </c>
      <c r="AE29" s="117"/>
      <c r="AF29" s="117"/>
      <c r="AG29" s="57">
        <f t="shared" si="3"/>
        <v>0</v>
      </c>
      <c r="AH29" s="57">
        <f>VLOOKUP(AD29,'Dummy Table'!$B$4:$C$29,2,FALSE)</f>
        <v>0</v>
      </c>
      <c r="AI29" s="57">
        <f>VLOOKUP($AD29,'Dummy Table'!$B$4:$D$29,3,FALSE)</f>
        <v>0</v>
      </c>
      <c r="AJ29" s="57">
        <f>VLOOKUP($AD29,'Dummy Table'!$B$4:$E$29,4,FALSE)</f>
        <v>0</v>
      </c>
      <c r="AK29" s="57">
        <f>VLOOKUP($AD29,'Dummy Table'!$B$4:$F$29,5,FALSE)</f>
        <v>0</v>
      </c>
      <c r="AL29" s="57">
        <f>VLOOKUP($AD29,'Dummy Table'!$B$4:$G$29,6,FALSE)</f>
        <v>0</v>
      </c>
      <c r="AM29" s="57">
        <f t="shared" si="4"/>
        <v>0</v>
      </c>
      <c r="AN29" s="57">
        <f>VLOOKUP($AD29,'Dummy Table'!$B$4:$I$29,8,FALSE)</f>
        <v>0</v>
      </c>
      <c r="AO29" s="57">
        <f>VLOOKUP($AD29,'Dummy Table'!$B$4:$J$29,9,FALSE)</f>
        <v>0</v>
      </c>
      <c r="AP29" s="57">
        <f>VLOOKUP($AD29,'Dummy Table'!$B$4:$M$29,12,FALSE)+VLOOKUP($AD29,'Dummy Table'!$B$4:$N$29,13,FALSE)</f>
        <v>4</v>
      </c>
      <c r="AQ29" s="57">
        <f>VLOOKUP($AD29,'Dummy Table'!$B$4:$O$29,14,FALSE)</f>
        <v>4</v>
      </c>
      <c r="DL29" s="44"/>
    </row>
    <row r="30" spans="4:116" s="43" customFormat="1" ht="18" customHeight="1" x14ac:dyDescent="0.3">
      <c r="D30" s="50">
        <v>18</v>
      </c>
      <c r="E30" s="51" t="s">
        <v>9</v>
      </c>
      <c r="F30" s="52">
        <v>42274</v>
      </c>
      <c r="G30" s="53">
        <v>0.60416666666666663</v>
      </c>
      <c r="H30" s="54" t="s">
        <v>46</v>
      </c>
      <c r="J30" s="51" t="str">
        <f>IF('Prediction Sheet'!H30&lt;&gt;"",'Prediction Sheet'!H30,"")</f>
        <v/>
      </c>
      <c r="K30" s="55" t="s">
        <v>25</v>
      </c>
      <c r="L30" s="51" t="str">
        <f>IF('Prediction Sheet'!J30&lt;&gt;"",'Prediction Sheet'!J30,"")</f>
        <v/>
      </c>
      <c r="N30" s="56" t="s">
        <v>5</v>
      </c>
      <c r="O30" s="51" t="str">
        <f>IF('Prediction Sheet'!L30&lt;&gt;"",'Prediction Sheet'!L30,"")</f>
        <v/>
      </c>
      <c r="P30" s="50" t="s">
        <v>25</v>
      </c>
      <c r="Q30" s="51" t="str">
        <f>IF('Prediction Sheet'!N30&lt;&gt;"",'Prediction Sheet'!N30,"")</f>
        <v/>
      </c>
      <c r="R30" s="43" t="s">
        <v>50</v>
      </c>
      <c r="AB30" s="47"/>
      <c r="AC30" s="57">
        <v>5</v>
      </c>
      <c r="AD30" s="117" t="str">
        <f>VLOOKUP(5,'Dummy Table'!$A$18:$B$22,2,FALSE)</f>
        <v>New Zealand</v>
      </c>
      <c r="AE30" s="117"/>
      <c r="AF30" s="117"/>
      <c r="AG30" s="57">
        <f t="shared" si="3"/>
        <v>0</v>
      </c>
      <c r="AH30" s="57">
        <f>VLOOKUP(AD30,'Dummy Table'!$B$4:$C$29,2,FALSE)</f>
        <v>0</v>
      </c>
      <c r="AI30" s="57">
        <f>VLOOKUP($AD30,'Dummy Table'!$B$4:$D$29,3,FALSE)</f>
        <v>0</v>
      </c>
      <c r="AJ30" s="57">
        <f>VLOOKUP($AD30,'Dummy Table'!$B$4:$E$29,4,FALSE)</f>
        <v>0</v>
      </c>
      <c r="AK30" s="57">
        <f>VLOOKUP($AD30,'Dummy Table'!$B$4:$F$29,5,FALSE)</f>
        <v>0</v>
      </c>
      <c r="AL30" s="57">
        <f>VLOOKUP($AD30,'Dummy Table'!$B$4:$G$29,6,FALSE)</f>
        <v>0</v>
      </c>
      <c r="AM30" s="57">
        <f t="shared" si="4"/>
        <v>0</v>
      </c>
      <c r="AN30" s="57">
        <f>VLOOKUP($AD30,'Dummy Table'!$B$4:$I$29,8,FALSE)</f>
        <v>0</v>
      </c>
      <c r="AO30" s="57">
        <f>VLOOKUP($AD30,'Dummy Table'!$B$4:$J$29,9,FALSE)</f>
        <v>0</v>
      </c>
      <c r="AP30" s="57">
        <f>VLOOKUP($AD30,'Dummy Table'!$B$4:$M$29,12,FALSE)+VLOOKUP($AD30,'Dummy Table'!$B$4:$N$29,13,FALSE)</f>
        <v>4</v>
      </c>
      <c r="AQ30" s="57">
        <f>VLOOKUP($AD30,'Dummy Table'!$B$4:$O$29,14,FALSE)</f>
        <v>4</v>
      </c>
      <c r="DL30" s="44"/>
    </row>
    <row r="31" spans="4:116" s="43" customFormat="1" ht="18" customHeight="1" x14ac:dyDescent="0.3">
      <c r="D31" s="50">
        <v>19</v>
      </c>
      <c r="E31" s="51" t="s">
        <v>20</v>
      </c>
      <c r="F31" s="52">
        <v>42274</v>
      </c>
      <c r="G31" s="53">
        <v>0.69791666666666663</v>
      </c>
      <c r="H31" s="54" t="s">
        <v>37</v>
      </c>
      <c r="J31" s="51" t="str">
        <f>IF('Prediction Sheet'!H31&lt;&gt;"",'Prediction Sheet'!H31,"")</f>
        <v/>
      </c>
      <c r="K31" s="55" t="s">
        <v>25</v>
      </c>
      <c r="L31" s="51" t="str">
        <f>IF('Prediction Sheet'!J31&lt;&gt;"",'Prediction Sheet'!J31,"")</f>
        <v/>
      </c>
      <c r="N31" s="56" t="s">
        <v>47</v>
      </c>
      <c r="O31" s="51" t="str">
        <f>IF('Prediction Sheet'!L31&lt;&gt;"",'Prediction Sheet'!L31,"")</f>
        <v/>
      </c>
      <c r="P31" s="50" t="s">
        <v>25</v>
      </c>
      <c r="Q31" s="51" t="str">
        <f>IF('Prediction Sheet'!N31&lt;&gt;"",'Prediction Sheet'!N31,"")</f>
        <v/>
      </c>
      <c r="R31" s="43" t="s">
        <v>45</v>
      </c>
      <c r="AB31" s="47"/>
      <c r="AQ31" s="42"/>
      <c r="DL31" s="44"/>
    </row>
    <row r="32" spans="4:116" s="43" customFormat="1" ht="18" customHeight="1" x14ac:dyDescent="0.3">
      <c r="D32" s="50">
        <v>20</v>
      </c>
      <c r="E32" s="51" t="s">
        <v>10</v>
      </c>
      <c r="F32" s="52">
        <v>42276</v>
      </c>
      <c r="G32" s="53">
        <v>0.69791666666666663</v>
      </c>
      <c r="H32" s="54" t="s">
        <v>34</v>
      </c>
      <c r="J32" s="51" t="str">
        <f>IF('Prediction Sheet'!H32&lt;&gt;"",'Prediction Sheet'!H32,"")</f>
        <v/>
      </c>
      <c r="K32" s="55" t="s">
        <v>25</v>
      </c>
      <c r="L32" s="51" t="str">
        <f>IF('Prediction Sheet'!J32&lt;&gt;"",'Prediction Sheet'!J32,"")</f>
        <v/>
      </c>
      <c r="N32" s="56" t="s">
        <v>49</v>
      </c>
      <c r="O32" s="51" t="str">
        <f>IF('Prediction Sheet'!L32&lt;&gt;"",'Prediction Sheet'!L32,"")</f>
        <v/>
      </c>
      <c r="P32" s="50" t="s">
        <v>25</v>
      </c>
      <c r="Q32" s="51" t="str">
        <f>IF('Prediction Sheet'!N32&lt;&gt;"",'Prediction Sheet'!N32,"")</f>
        <v/>
      </c>
      <c r="R32" s="43" t="s">
        <v>52</v>
      </c>
      <c r="AB32" s="47"/>
      <c r="AC32" s="63" t="s">
        <v>64</v>
      </c>
      <c r="AD32" s="64"/>
      <c r="AE32" s="58"/>
      <c r="AF32" s="58"/>
      <c r="AG32" s="62" t="s">
        <v>0</v>
      </c>
      <c r="AH32" s="62" t="s">
        <v>19</v>
      </c>
      <c r="AI32" s="62" t="s">
        <v>20</v>
      </c>
      <c r="AJ32" s="62" t="s">
        <v>21</v>
      </c>
      <c r="AK32" s="62" t="s">
        <v>71</v>
      </c>
      <c r="AL32" s="62" t="s">
        <v>72</v>
      </c>
      <c r="AM32" s="62" t="s">
        <v>73</v>
      </c>
      <c r="AN32" s="62" t="s">
        <v>59</v>
      </c>
      <c r="AO32" s="62" t="s">
        <v>58</v>
      </c>
      <c r="AP32" s="62" t="s">
        <v>60</v>
      </c>
      <c r="AQ32" s="62" t="s">
        <v>57</v>
      </c>
      <c r="DL32" s="44"/>
    </row>
    <row r="33" spans="4:116" s="43" customFormat="1" ht="18" customHeight="1" x14ac:dyDescent="0.3">
      <c r="D33" s="50">
        <v>21</v>
      </c>
      <c r="E33" s="51" t="s">
        <v>22</v>
      </c>
      <c r="F33" s="52">
        <v>42278</v>
      </c>
      <c r="G33" s="53">
        <v>0.69791666666666663</v>
      </c>
      <c r="H33" s="54" t="s">
        <v>43</v>
      </c>
      <c r="J33" s="51" t="str">
        <f>IF('Prediction Sheet'!H33&lt;&gt;"",'Prediction Sheet'!H33,"")</f>
        <v/>
      </c>
      <c r="K33" s="55" t="s">
        <v>25</v>
      </c>
      <c r="L33" s="51" t="str">
        <f>IF('Prediction Sheet'!J33&lt;&gt;"",'Prediction Sheet'!J33,"")</f>
        <v/>
      </c>
      <c r="N33" s="56" t="s">
        <v>29</v>
      </c>
      <c r="O33" s="51" t="str">
        <f>IF('Prediction Sheet'!L33&lt;&gt;"",'Prediction Sheet'!L33,"")</f>
        <v/>
      </c>
      <c r="P33" s="50" t="s">
        <v>25</v>
      </c>
      <c r="Q33" s="51" t="str">
        <f>IF('Prediction Sheet'!N33&lt;&gt;"",'Prediction Sheet'!N33,"")</f>
        <v/>
      </c>
      <c r="R33" s="43" t="s">
        <v>39</v>
      </c>
      <c r="AB33" s="47"/>
      <c r="AC33" s="57">
        <v>1</v>
      </c>
      <c r="AD33" s="117" t="str">
        <f>VLOOKUP(1,'Dummy Table'!$A$25:$B$29,2,FALSE)</f>
        <v>Canada</v>
      </c>
      <c r="AE33" s="117"/>
      <c r="AF33" s="117"/>
      <c r="AG33" s="57">
        <f t="shared" ref="AG33:AG37" si="5">SUM(AH33:AJ33)</f>
        <v>0</v>
      </c>
      <c r="AH33" s="57">
        <f>VLOOKUP(AD33,'Dummy Table'!$B$4:$C$29,2,FALSE)</f>
        <v>0</v>
      </c>
      <c r="AI33" s="57">
        <f>VLOOKUP($AD33,'Dummy Table'!$B$4:$D$29,3,FALSE)</f>
        <v>0</v>
      </c>
      <c r="AJ33" s="57">
        <f>VLOOKUP($AD33,'Dummy Table'!$B$4:$E$29,4,FALSE)</f>
        <v>0</v>
      </c>
      <c r="AK33" s="57">
        <f>VLOOKUP($AD33,'Dummy Table'!$B$4:$F$29,5,FALSE)</f>
        <v>0</v>
      </c>
      <c r="AL33" s="57">
        <f>VLOOKUP($AD33,'Dummy Table'!$B$4:$G$29,6,FALSE)</f>
        <v>0</v>
      </c>
      <c r="AM33" s="57">
        <f>AK33-AL33</f>
        <v>0</v>
      </c>
      <c r="AN33" s="57">
        <f>VLOOKUP($AD33,'Dummy Table'!$B$4:$I$29,8,FALSE)</f>
        <v>0</v>
      </c>
      <c r="AO33" s="57">
        <f>VLOOKUP($AD33,'Dummy Table'!$B$4:$J$29,9,FALSE)</f>
        <v>0</v>
      </c>
      <c r="AP33" s="57">
        <f>VLOOKUP($AD33,'Dummy Table'!$B$4:$M$29,12,FALSE)+VLOOKUP($AD33,'Dummy Table'!$B$4:$N$29,13,FALSE)</f>
        <v>4</v>
      </c>
      <c r="AQ33" s="57">
        <f>VLOOKUP($AD33,'Dummy Table'!$B$4:$O$29,14,FALSE)</f>
        <v>4</v>
      </c>
      <c r="DL33" s="44"/>
    </row>
    <row r="34" spans="4:116" s="43" customFormat="1" ht="18" customHeight="1" x14ac:dyDescent="0.3">
      <c r="D34" s="50">
        <v>22</v>
      </c>
      <c r="E34" s="51" t="s">
        <v>20</v>
      </c>
      <c r="F34" s="52">
        <v>42278</v>
      </c>
      <c r="G34" s="53">
        <v>0.83333333333333337</v>
      </c>
      <c r="H34" s="54" t="s">
        <v>18</v>
      </c>
      <c r="J34" s="51" t="str">
        <f>IF('Prediction Sheet'!H34&lt;&gt;"",'Prediction Sheet'!H34,"")</f>
        <v/>
      </c>
      <c r="K34" s="55" t="s">
        <v>25</v>
      </c>
      <c r="L34" s="51" t="str">
        <f>IF('Prediction Sheet'!J34&lt;&gt;"",'Prediction Sheet'!J34,"")</f>
        <v/>
      </c>
      <c r="N34" s="56" t="s">
        <v>38</v>
      </c>
      <c r="O34" s="51" t="str">
        <f>IF('Prediction Sheet'!L34&lt;&gt;"",'Prediction Sheet'!L34,"")</f>
        <v/>
      </c>
      <c r="P34" s="50" t="s">
        <v>25</v>
      </c>
      <c r="Q34" s="51" t="str">
        <f>IF('Prediction Sheet'!N34&lt;&gt;"",'Prediction Sheet'!N34,"")</f>
        <v/>
      </c>
      <c r="R34" s="43" t="s">
        <v>53</v>
      </c>
      <c r="AB34" s="47"/>
      <c r="AC34" s="57">
        <v>2</v>
      </c>
      <c r="AD34" s="117" t="str">
        <f>VLOOKUP(2,'Dummy Table'!$A$25:$B$29,2,FALSE)</f>
        <v>Romania</v>
      </c>
      <c r="AE34" s="117"/>
      <c r="AF34" s="117"/>
      <c r="AG34" s="57">
        <f t="shared" si="5"/>
        <v>0</v>
      </c>
      <c r="AH34" s="57">
        <f>VLOOKUP(AD34,'Dummy Table'!$B$4:$C$29,2,FALSE)</f>
        <v>0</v>
      </c>
      <c r="AI34" s="57">
        <f>VLOOKUP($AD34,'Dummy Table'!$B$4:$D$29,3,FALSE)</f>
        <v>0</v>
      </c>
      <c r="AJ34" s="57">
        <f>VLOOKUP($AD34,'Dummy Table'!$B$4:$E$29,4,FALSE)</f>
        <v>0</v>
      </c>
      <c r="AK34" s="57">
        <f>VLOOKUP($AD34,'Dummy Table'!$B$4:$F$29,5,FALSE)</f>
        <v>0</v>
      </c>
      <c r="AL34" s="57">
        <f>VLOOKUP($AD34,'Dummy Table'!$B$4:$G$29,6,FALSE)</f>
        <v>0</v>
      </c>
      <c r="AM34" s="57">
        <f t="shared" ref="AM34:AM37" si="6">AK34-AL34</f>
        <v>0</v>
      </c>
      <c r="AN34" s="57">
        <f>VLOOKUP($AD34,'Dummy Table'!$B$4:$I$29,8,FALSE)</f>
        <v>0</v>
      </c>
      <c r="AO34" s="57">
        <f>VLOOKUP($AD34,'Dummy Table'!$B$4:$J$29,9,FALSE)</f>
        <v>0</v>
      </c>
      <c r="AP34" s="57">
        <f>VLOOKUP($AD34,'Dummy Table'!$B$4:$M$29,12,FALSE)+VLOOKUP($AD34,'Dummy Table'!$B$4:$N$29,13,FALSE)</f>
        <v>4</v>
      </c>
      <c r="AQ34" s="57">
        <f>VLOOKUP($AD34,'Dummy Table'!$B$4:$O$29,14,FALSE)</f>
        <v>4</v>
      </c>
      <c r="DL34" s="44"/>
    </row>
    <row r="35" spans="4:116" s="43" customFormat="1" ht="18" customHeight="1" x14ac:dyDescent="0.3">
      <c r="D35" s="50">
        <v>23</v>
      </c>
      <c r="E35" s="51" t="s">
        <v>10</v>
      </c>
      <c r="F35" s="52">
        <v>42279</v>
      </c>
      <c r="G35" s="53">
        <v>0.83333333333333337</v>
      </c>
      <c r="H35" s="54" t="s">
        <v>44</v>
      </c>
      <c r="J35" s="51" t="str">
        <f>IF('Prediction Sheet'!H35&lt;&gt;"",'Prediction Sheet'!H35,"")</f>
        <v/>
      </c>
      <c r="K35" s="55" t="s">
        <v>25</v>
      </c>
      <c r="L35" s="51" t="str">
        <f>IF('Prediction Sheet'!J35&lt;&gt;"",'Prediction Sheet'!J35,"")</f>
        <v/>
      </c>
      <c r="N35" s="56" t="s">
        <v>35</v>
      </c>
      <c r="O35" s="51" t="str">
        <f>IF('Prediction Sheet'!L35&lt;&gt;"",'Prediction Sheet'!L35,"")</f>
        <v/>
      </c>
      <c r="P35" s="50" t="s">
        <v>25</v>
      </c>
      <c r="Q35" s="51" t="str">
        <f>IF('Prediction Sheet'!N35&lt;&gt;"",'Prediction Sheet'!N35,"")</f>
        <v/>
      </c>
      <c r="R35" s="43" t="s">
        <v>39</v>
      </c>
      <c r="AB35" s="47"/>
      <c r="AC35" s="57">
        <v>3</v>
      </c>
      <c r="AD35" s="117" t="str">
        <f>VLOOKUP(3,'Dummy Table'!$A$25:$B$29,2,FALSE)</f>
        <v>Italy</v>
      </c>
      <c r="AE35" s="117"/>
      <c r="AF35" s="117"/>
      <c r="AG35" s="57">
        <f t="shared" si="5"/>
        <v>0</v>
      </c>
      <c r="AH35" s="57">
        <f>VLOOKUP(AD35,'Dummy Table'!$B$4:$C$29,2,FALSE)</f>
        <v>0</v>
      </c>
      <c r="AI35" s="57">
        <f>VLOOKUP($AD35,'Dummy Table'!$B$4:$D$29,3,FALSE)</f>
        <v>0</v>
      </c>
      <c r="AJ35" s="57">
        <f>VLOOKUP($AD35,'Dummy Table'!$B$4:$E$29,4,FALSE)</f>
        <v>0</v>
      </c>
      <c r="AK35" s="57">
        <f>VLOOKUP($AD35,'Dummy Table'!$B$4:$F$29,5,FALSE)</f>
        <v>0</v>
      </c>
      <c r="AL35" s="57">
        <f>VLOOKUP($AD35,'Dummy Table'!$B$4:$G$29,6,FALSE)</f>
        <v>0</v>
      </c>
      <c r="AM35" s="57">
        <f t="shared" si="6"/>
        <v>0</v>
      </c>
      <c r="AN35" s="57">
        <f>VLOOKUP($AD35,'Dummy Table'!$B$4:$I$29,8,FALSE)</f>
        <v>0</v>
      </c>
      <c r="AO35" s="57">
        <f>VLOOKUP($AD35,'Dummy Table'!$B$4:$J$29,9,FALSE)</f>
        <v>0</v>
      </c>
      <c r="AP35" s="57">
        <f>VLOOKUP($AD35,'Dummy Table'!$B$4:$M$29,12,FALSE)+VLOOKUP($AD35,'Dummy Table'!$B$4:$N$29,13,FALSE)</f>
        <v>4</v>
      </c>
      <c r="AQ35" s="57">
        <f>VLOOKUP($AD35,'Dummy Table'!$B$4:$O$29,14,FALSE)</f>
        <v>4</v>
      </c>
      <c r="DL35" s="44"/>
    </row>
    <row r="36" spans="4:116" s="43" customFormat="1" ht="18" customHeight="1" x14ac:dyDescent="0.3">
      <c r="D36" s="50">
        <v>24</v>
      </c>
      <c r="E36" s="51" t="s">
        <v>9</v>
      </c>
      <c r="F36" s="52">
        <v>42280</v>
      </c>
      <c r="G36" s="53">
        <v>0.60416666666666663</v>
      </c>
      <c r="H36" s="54" t="s">
        <v>42</v>
      </c>
      <c r="J36" s="51" t="str">
        <f>IF('Prediction Sheet'!H36&lt;&gt;"",'Prediction Sheet'!H36,"")</f>
        <v/>
      </c>
      <c r="K36" s="55" t="s">
        <v>25</v>
      </c>
      <c r="L36" s="51" t="str">
        <f>IF('Prediction Sheet'!J36&lt;&gt;"",'Prediction Sheet'!J36,"")</f>
        <v/>
      </c>
      <c r="N36" s="56" t="s">
        <v>7</v>
      </c>
      <c r="O36" s="51" t="str">
        <f>IF('Prediction Sheet'!L36&lt;&gt;"",'Prediction Sheet'!L36,"")</f>
        <v/>
      </c>
      <c r="P36" s="50" t="s">
        <v>25</v>
      </c>
      <c r="Q36" s="51" t="str">
        <f>IF('Prediction Sheet'!N36&lt;&gt;"",'Prediction Sheet'!N36,"")</f>
        <v/>
      </c>
      <c r="R36" s="43" t="s">
        <v>53</v>
      </c>
      <c r="AB36" s="47"/>
      <c r="AC36" s="57">
        <v>4</v>
      </c>
      <c r="AD36" s="117" t="str">
        <f>VLOOKUP(4,'Dummy Table'!$A$25:$B$29,2,FALSE)</f>
        <v>France</v>
      </c>
      <c r="AE36" s="117"/>
      <c r="AF36" s="117"/>
      <c r="AG36" s="57">
        <f t="shared" si="5"/>
        <v>0</v>
      </c>
      <c r="AH36" s="57">
        <f>VLOOKUP(AD36,'Dummy Table'!$B$4:$C$29,2,FALSE)</f>
        <v>0</v>
      </c>
      <c r="AI36" s="57">
        <f>VLOOKUP($AD36,'Dummy Table'!$B$4:$D$29,3,FALSE)</f>
        <v>0</v>
      </c>
      <c r="AJ36" s="57">
        <f>VLOOKUP($AD36,'Dummy Table'!$B$4:$E$29,4,FALSE)</f>
        <v>0</v>
      </c>
      <c r="AK36" s="57">
        <f>VLOOKUP($AD36,'Dummy Table'!$B$4:$F$29,5,FALSE)</f>
        <v>0</v>
      </c>
      <c r="AL36" s="57">
        <f>VLOOKUP($AD36,'Dummy Table'!$B$4:$G$29,6,FALSE)</f>
        <v>0</v>
      </c>
      <c r="AM36" s="57">
        <f t="shared" si="6"/>
        <v>0</v>
      </c>
      <c r="AN36" s="57">
        <f>VLOOKUP($AD36,'Dummy Table'!$B$4:$I$29,8,FALSE)</f>
        <v>0</v>
      </c>
      <c r="AO36" s="57">
        <f>VLOOKUP($AD36,'Dummy Table'!$B$4:$J$29,9,FALSE)</f>
        <v>0</v>
      </c>
      <c r="AP36" s="57">
        <f>VLOOKUP($AD36,'Dummy Table'!$B$4:$M$29,12,FALSE)+VLOOKUP($AD36,'Dummy Table'!$B$4:$N$29,13,FALSE)</f>
        <v>4</v>
      </c>
      <c r="AQ36" s="57">
        <f>VLOOKUP($AD36,'Dummy Table'!$B$4:$O$29,14,FALSE)</f>
        <v>4</v>
      </c>
      <c r="DL36" s="44"/>
    </row>
    <row r="37" spans="4:116" s="43" customFormat="1" ht="18" customHeight="1" x14ac:dyDescent="0.3">
      <c r="D37" s="50">
        <v>25</v>
      </c>
      <c r="E37" s="51" t="s">
        <v>9</v>
      </c>
      <c r="F37" s="52">
        <v>42280</v>
      </c>
      <c r="G37" s="53">
        <v>0.69791666666666663</v>
      </c>
      <c r="H37" s="54" t="s">
        <v>40</v>
      </c>
      <c r="J37" s="51" t="str">
        <f>IF('Prediction Sheet'!H37&lt;&gt;"",'Prediction Sheet'!H37,"")</f>
        <v/>
      </c>
      <c r="K37" s="55" t="s">
        <v>25</v>
      </c>
      <c r="L37" s="51" t="str">
        <f>IF('Prediction Sheet'!J37&lt;&gt;"",'Prediction Sheet'!J37,"")</f>
        <v/>
      </c>
      <c r="N37" s="56" t="s">
        <v>46</v>
      </c>
      <c r="O37" s="51" t="str">
        <f>IF('Prediction Sheet'!L37&lt;&gt;"",'Prediction Sheet'!L37,"")</f>
        <v/>
      </c>
      <c r="P37" s="50" t="s">
        <v>25</v>
      </c>
      <c r="Q37" s="51" t="str">
        <f>IF('Prediction Sheet'!N37&lt;&gt;"",'Prediction Sheet'!N37,"")</f>
        <v/>
      </c>
      <c r="R37" s="43" t="s">
        <v>54</v>
      </c>
      <c r="AB37" s="47"/>
      <c r="AC37" s="57">
        <v>5</v>
      </c>
      <c r="AD37" s="117" t="str">
        <f>VLOOKUP(5,'Dummy Table'!$A$25:$B$29,2,FALSE)</f>
        <v>Ireland</v>
      </c>
      <c r="AE37" s="117"/>
      <c r="AF37" s="117"/>
      <c r="AG37" s="57">
        <f t="shared" si="5"/>
        <v>0</v>
      </c>
      <c r="AH37" s="57">
        <f>VLOOKUP(AD37,'Dummy Table'!$B$4:$C$29,2,FALSE)</f>
        <v>0</v>
      </c>
      <c r="AI37" s="57">
        <f>VLOOKUP($AD37,'Dummy Table'!$B$4:$D$29,3,FALSE)</f>
        <v>0</v>
      </c>
      <c r="AJ37" s="57">
        <f>VLOOKUP($AD37,'Dummy Table'!$B$4:$E$29,4,FALSE)</f>
        <v>0</v>
      </c>
      <c r="AK37" s="57">
        <f>VLOOKUP($AD37,'Dummy Table'!$B$4:$F$29,5,FALSE)</f>
        <v>0</v>
      </c>
      <c r="AL37" s="57">
        <f>VLOOKUP($AD37,'Dummy Table'!$B$4:$G$29,6,FALSE)</f>
        <v>0</v>
      </c>
      <c r="AM37" s="57">
        <f t="shared" si="6"/>
        <v>0</v>
      </c>
      <c r="AN37" s="57">
        <f>VLOOKUP($AD37,'Dummy Table'!$B$4:$I$29,8,FALSE)</f>
        <v>0</v>
      </c>
      <c r="AO37" s="57">
        <f>VLOOKUP($AD37,'Dummy Table'!$B$4:$J$29,9,FALSE)</f>
        <v>0</v>
      </c>
      <c r="AP37" s="57">
        <f>VLOOKUP($AD37,'Dummy Table'!$B$4:$M$29,12,FALSE)+VLOOKUP($AD37,'Dummy Table'!$B$4:$N$29,13,FALSE)</f>
        <v>4</v>
      </c>
      <c r="AQ37" s="57">
        <f>VLOOKUP($AD37,'Dummy Table'!$B$4:$O$29,14,FALSE)</f>
        <v>4</v>
      </c>
      <c r="DL37" s="44"/>
    </row>
    <row r="38" spans="4:116" s="43" customFormat="1" ht="18" customHeight="1" x14ac:dyDescent="0.3">
      <c r="D38" s="50">
        <v>26</v>
      </c>
      <c r="E38" s="51" t="s">
        <v>22</v>
      </c>
      <c r="F38" s="52">
        <v>42280</v>
      </c>
      <c r="G38" s="53">
        <v>0.83333333333333337</v>
      </c>
      <c r="H38" s="54" t="s">
        <v>4</v>
      </c>
      <c r="J38" s="51" t="str">
        <f>IF('Prediction Sheet'!H38&lt;&gt;"",'Prediction Sheet'!H38,"")</f>
        <v/>
      </c>
      <c r="K38" s="55" t="s">
        <v>25</v>
      </c>
      <c r="L38" s="51" t="str">
        <f>IF('Prediction Sheet'!J38&lt;&gt;"",'Prediction Sheet'!J38,"")</f>
        <v/>
      </c>
      <c r="N38" s="56" t="s">
        <v>6</v>
      </c>
      <c r="O38" s="51" t="str">
        <f>IF('Prediction Sheet'!L38&lt;&gt;"",'Prediction Sheet'!L38,"")</f>
        <v/>
      </c>
      <c r="P38" s="50" t="s">
        <v>25</v>
      </c>
      <c r="Q38" s="51" t="str">
        <f>IF('Prediction Sheet'!N38&lt;&gt;"",'Prediction Sheet'!N38,"")</f>
        <v/>
      </c>
      <c r="R38" s="43" t="s">
        <v>33</v>
      </c>
      <c r="AB38" s="47"/>
      <c r="AP38" s="42" t="str">
        <f>IF(SUM('Dummy Table'!BP$32:BP$35)&gt;0,IF(ISNA(VLOOKUP(3,'Dummy Table'!BP$32:BQ$35,2,FALSE)),"",VLOOKUP(3,'Dummy Table'!BP$32:BQ$35,2,FALSE)),"")</f>
        <v/>
      </c>
      <c r="DL38" s="44"/>
    </row>
    <row r="39" spans="4:116" s="43" customFormat="1" ht="18" customHeight="1" x14ac:dyDescent="0.3">
      <c r="D39" s="50">
        <v>27</v>
      </c>
      <c r="E39" s="51" t="s">
        <v>10</v>
      </c>
      <c r="F39" s="52">
        <v>42281</v>
      </c>
      <c r="G39" s="53">
        <v>0.60416666666666663</v>
      </c>
      <c r="H39" s="54" t="s">
        <v>3</v>
      </c>
      <c r="J39" s="51" t="str">
        <f>IF('Prediction Sheet'!H39&lt;&gt;"",'Prediction Sheet'!H39,"")</f>
        <v/>
      </c>
      <c r="K39" s="55" t="s">
        <v>25</v>
      </c>
      <c r="L39" s="51" t="str">
        <f>IF('Prediction Sheet'!J39&lt;&gt;"",'Prediction Sheet'!J39,"")</f>
        <v/>
      </c>
      <c r="N39" s="56" t="s">
        <v>34</v>
      </c>
      <c r="O39" s="51" t="str">
        <f>IF('Prediction Sheet'!L39&lt;&gt;"",'Prediction Sheet'!L39,"")</f>
        <v/>
      </c>
      <c r="P39" s="50" t="s">
        <v>25</v>
      </c>
      <c r="Q39" s="51" t="str">
        <f>IF('Prediction Sheet'!N39&lt;&gt;"",'Prediction Sheet'!N39,"")</f>
        <v/>
      </c>
      <c r="R39" s="43" t="s">
        <v>55</v>
      </c>
      <c r="DL39" s="44"/>
    </row>
    <row r="40" spans="4:116" s="43" customFormat="1" ht="18" customHeight="1" x14ac:dyDescent="0.3">
      <c r="D40" s="50">
        <v>28</v>
      </c>
      <c r="E40" s="51" t="s">
        <v>20</v>
      </c>
      <c r="F40" s="52">
        <v>42281</v>
      </c>
      <c r="G40" s="53">
        <v>0.69791666666666663</v>
      </c>
      <c r="H40" s="54" t="s">
        <v>37</v>
      </c>
      <c r="J40" s="51" t="str">
        <f>IF('Prediction Sheet'!H40&lt;&gt;"",'Prediction Sheet'!H40,"")</f>
        <v/>
      </c>
      <c r="K40" s="55" t="s">
        <v>25</v>
      </c>
      <c r="L40" s="51" t="str">
        <f>IF('Prediction Sheet'!J40&lt;&gt;"",'Prediction Sheet'!J40,"")</f>
        <v/>
      </c>
      <c r="N40" s="56" t="s">
        <v>17</v>
      </c>
      <c r="O40" s="51" t="str">
        <f>IF('Prediction Sheet'!L40&lt;&gt;"",'Prediction Sheet'!L40,"")</f>
        <v/>
      </c>
      <c r="P40" s="50" t="s">
        <v>25</v>
      </c>
      <c r="Q40" s="51" t="str">
        <f>IF('Prediction Sheet'!N40&lt;&gt;"",'Prediction Sheet'!N40,"")</f>
        <v/>
      </c>
      <c r="R40" s="43" t="s">
        <v>48</v>
      </c>
      <c r="DL40" s="44"/>
    </row>
    <row r="41" spans="4:116" s="43" customFormat="1" ht="18" customHeight="1" x14ac:dyDescent="0.3">
      <c r="D41" s="50">
        <v>29</v>
      </c>
      <c r="E41" s="51" t="s">
        <v>20</v>
      </c>
      <c r="F41" s="52">
        <v>42283</v>
      </c>
      <c r="G41" s="53">
        <v>0.69791666666666663</v>
      </c>
      <c r="H41" s="54" t="s">
        <v>38</v>
      </c>
      <c r="J41" s="51" t="str">
        <f>IF('Prediction Sheet'!H41&lt;&gt;"",'Prediction Sheet'!H41,"")</f>
        <v/>
      </c>
      <c r="K41" s="55" t="s">
        <v>25</v>
      </c>
      <c r="L41" s="51" t="str">
        <f>IF('Prediction Sheet'!J41&lt;&gt;"",'Prediction Sheet'!J41,"")</f>
        <v/>
      </c>
      <c r="N41" s="56" t="s">
        <v>47</v>
      </c>
      <c r="O41" s="51" t="str">
        <f>IF('Prediction Sheet'!L41&lt;&gt;"",'Prediction Sheet'!L41,"")</f>
        <v/>
      </c>
      <c r="P41" s="50" t="s">
        <v>25</v>
      </c>
      <c r="Q41" s="51" t="str">
        <f>IF('Prediction Sheet'!N41&lt;&gt;"",'Prediction Sheet'!N41,"")</f>
        <v/>
      </c>
      <c r="R41" s="43" t="s">
        <v>55</v>
      </c>
      <c r="DL41" s="44"/>
    </row>
    <row r="42" spans="4:116" s="43" customFormat="1" ht="18" customHeight="1" x14ac:dyDescent="0.3">
      <c r="D42" s="50">
        <v>30</v>
      </c>
      <c r="E42" s="51" t="s">
        <v>22</v>
      </c>
      <c r="F42" s="52">
        <v>42283</v>
      </c>
      <c r="G42" s="53">
        <v>0.83333333333333337</v>
      </c>
      <c r="H42" s="54" t="s">
        <v>29</v>
      </c>
      <c r="J42" s="51" t="str">
        <f>IF('Prediction Sheet'!H42&lt;&gt;"",'Prediction Sheet'!H42,"")</f>
        <v/>
      </c>
      <c r="K42" s="55" t="s">
        <v>25</v>
      </c>
      <c r="L42" s="51" t="str">
        <f>IF('Prediction Sheet'!J42&lt;&gt;"",'Prediction Sheet'!J42,"")</f>
        <v/>
      </c>
      <c r="N42" s="56" t="s">
        <v>2</v>
      </c>
      <c r="O42" s="51" t="str">
        <f>IF('Prediction Sheet'!L42&lt;&gt;"",'Prediction Sheet'!L42,"")</f>
        <v/>
      </c>
      <c r="P42" s="50" t="s">
        <v>25</v>
      </c>
      <c r="Q42" s="51" t="str">
        <f>IF('Prediction Sheet'!N42&lt;&gt;"",'Prediction Sheet'!N42,"")</f>
        <v/>
      </c>
      <c r="R42" s="43" t="s">
        <v>53</v>
      </c>
      <c r="DL42" s="44"/>
    </row>
    <row r="43" spans="4:116" s="43" customFormat="1" ht="18" customHeight="1" x14ac:dyDescent="0.3">
      <c r="D43" s="50">
        <v>31</v>
      </c>
      <c r="E43" s="51" t="s">
        <v>9</v>
      </c>
      <c r="F43" s="52">
        <v>42284</v>
      </c>
      <c r="G43" s="53">
        <v>0.69791666666666663</v>
      </c>
      <c r="H43" s="54" t="s">
        <v>40</v>
      </c>
      <c r="J43" s="51" t="str">
        <f>IF('Prediction Sheet'!H43&lt;&gt;"",'Prediction Sheet'!H43,"")</f>
        <v/>
      </c>
      <c r="K43" s="55" t="s">
        <v>25</v>
      </c>
      <c r="L43" s="51" t="str">
        <f>IF('Prediction Sheet'!J43&lt;&gt;"",'Prediction Sheet'!J43,"")</f>
        <v/>
      </c>
      <c r="N43" s="56" t="s">
        <v>5</v>
      </c>
      <c r="O43" s="51" t="str">
        <f>IF('Prediction Sheet'!L43&lt;&gt;"",'Prediction Sheet'!L43,"")</f>
        <v/>
      </c>
      <c r="P43" s="50" t="s">
        <v>25</v>
      </c>
      <c r="Q43" s="51" t="str">
        <f>IF('Prediction Sheet'!N43&lt;&gt;"",'Prediction Sheet'!N43,"")</f>
        <v/>
      </c>
      <c r="R43" s="43" t="s">
        <v>48</v>
      </c>
      <c r="DL43" s="44"/>
    </row>
    <row r="44" spans="4:116" s="43" customFormat="1" ht="18" customHeight="1" x14ac:dyDescent="0.3">
      <c r="D44" s="50">
        <v>32</v>
      </c>
      <c r="E44" s="51" t="s">
        <v>10</v>
      </c>
      <c r="F44" s="52">
        <v>42284</v>
      </c>
      <c r="G44" s="53">
        <v>0.83333333333333337</v>
      </c>
      <c r="H44" s="54" t="s">
        <v>49</v>
      </c>
      <c r="J44" s="51" t="str">
        <f>IF('Prediction Sheet'!H44&lt;&gt;"",'Prediction Sheet'!H44,"")</f>
        <v/>
      </c>
      <c r="K44" s="55" t="s">
        <v>25</v>
      </c>
      <c r="L44" s="51" t="str">
        <f>IF('Prediction Sheet'!J44&lt;&gt;"",'Prediction Sheet'!J44,"")</f>
        <v/>
      </c>
      <c r="N44" s="56" t="s">
        <v>35</v>
      </c>
      <c r="O44" s="51" t="str">
        <f>IF('Prediction Sheet'!L44&lt;&gt;"",'Prediction Sheet'!L44,"")</f>
        <v/>
      </c>
      <c r="P44" s="50" t="s">
        <v>25</v>
      </c>
      <c r="Q44" s="51" t="str">
        <f>IF('Prediction Sheet'!N44&lt;&gt;"",'Prediction Sheet'!N44,"")</f>
        <v/>
      </c>
      <c r="R44" s="43" t="s">
        <v>52</v>
      </c>
      <c r="DL44" s="44"/>
    </row>
    <row r="45" spans="4:116" s="43" customFormat="1" ht="18" customHeight="1" x14ac:dyDescent="0.3">
      <c r="D45" s="50">
        <v>33</v>
      </c>
      <c r="E45" s="51" t="s">
        <v>10</v>
      </c>
      <c r="F45" s="52">
        <v>42286</v>
      </c>
      <c r="G45" s="53">
        <v>0.83333333333333337</v>
      </c>
      <c r="H45" s="54" t="s">
        <v>44</v>
      </c>
      <c r="J45" s="51" t="str">
        <f>IF('Prediction Sheet'!H45&lt;&gt;"",'Prediction Sheet'!H45,"")</f>
        <v/>
      </c>
      <c r="K45" s="55" t="s">
        <v>25</v>
      </c>
      <c r="L45" s="51" t="str">
        <f>IF('Prediction Sheet'!J45&lt;&gt;"",'Prediction Sheet'!J45,"")</f>
        <v/>
      </c>
      <c r="N45" s="56" t="s">
        <v>34</v>
      </c>
      <c r="O45" s="51" t="str">
        <f>IF('Prediction Sheet'!L45&lt;&gt;"",'Prediction Sheet'!L45,"")</f>
        <v/>
      </c>
      <c r="P45" s="50" t="s">
        <v>25</v>
      </c>
      <c r="Q45" s="51" t="str">
        <f>IF('Prediction Sheet'!N45&lt;&gt;"",'Prediction Sheet'!N45,"")</f>
        <v/>
      </c>
      <c r="R45" s="43" t="s">
        <v>54</v>
      </c>
      <c r="DL45" s="44"/>
    </row>
    <row r="46" spans="4:116" s="43" customFormat="1" ht="18" customHeight="1" x14ac:dyDescent="0.3">
      <c r="D46" s="50">
        <v>34</v>
      </c>
      <c r="E46" s="51" t="s">
        <v>9</v>
      </c>
      <c r="F46" s="52">
        <v>42287</v>
      </c>
      <c r="G46" s="53">
        <v>0.60416666666666663</v>
      </c>
      <c r="H46" s="54" t="s">
        <v>42</v>
      </c>
      <c r="J46" s="51" t="str">
        <f>IF('Prediction Sheet'!H46&lt;&gt;"",'Prediction Sheet'!H46,"")</f>
        <v/>
      </c>
      <c r="K46" s="55" t="s">
        <v>25</v>
      </c>
      <c r="L46" s="51" t="str">
        <f>IF('Prediction Sheet'!J46&lt;&gt;"",'Prediction Sheet'!J46,"")</f>
        <v/>
      </c>
      <c r="N46" s="56" t="s">
        <v>46</v>
      </c>
      <c r="O46" s="51" t="str">
        <f>IF('Prediction Sheet'!L46&lt;&gt;"",'Prediction Sheet'!L46,"")</f>
        <v/>
      </c>
      <c r="P46" s="50" t="s">
        <v>25</v>
      </c>
      <c r="Q46" s="51" t="str">
        <f>IF('Prediction Sheet'!N46&lt;&gt;"",'Prediction Sheet'!N46,"")</f>
        <v/>
      </c>
      <c r="R46" s="43" t="s">
        <v>54</v>
      </c>
      <c r="DL46" s="44"/>
    </row>
    <row r="47" spans="4:116" s="43" customFormat="1" ht="18" customHeight="1" x14ac:dyDescent="0.3">
      <c r="D47" s="50">
        <v>35</v>
      </c>
      <c r="E47" s="51" t="s">
        <v>22</v>
      </c>
      <c r="F47" s="52">
        <v>42287</v>
      </c>
      <c r="G47" s="53">
        <v>0.69791666666666663</v>
      </c>
      <c r="H47" s="54" t="s">
        <v>6</v>
      </c>
      <c r="J47" s="51" t="str">
        <f>IF('Prediction Sheet'!H47&lt;&gt;"",'Prediction Sheet'!H47,"")</f>
        <v/>
      </c>
      <c r="K47" s="55" t="s">
        <v>25</v>
      </c>
      <c r="L47" s="51" t="str">
        <f>IF('Prediction Sheet'!J47&lt;&gt;"",'Prediction Sheet'!J47,"")</f>
        <v/>
      </c>
      <c r="N47" s="56" t="s">
        <v>43</v>
      </c>
      <c r="O47" s="51" t="str">
        <f>IF('Prediction Sheet'!L47&lt;&gt;"",'Prediction Sheet'!L47,"")</f>
        <v/>
      </c>
      <c r="P47" s="50" t="s">
        <v>25</v>
      </c>
      <c r="Q47" s="51" t="str">
        <f>IF('Prediction Sheet'!N47&lt;&gt;"",'Prediction Sheet'!N47,"")</f>
        <v/>
      </c>
      <c r="R47" s="43" t="s">
        <v>33</v>
      </c>
      <c r="DL47" s="44"/>
    </row>
    <row r="48" spans="4:116" s="43" customFormat="1" ht="18" customHeight="1" x14ac:dyDescent="0.3">
      <c r="D48" s="50">
        <v>36</v>
      </c>
      <c r="E48" s="51" t="s">
        <v>22</v>
      </c>
      <c r="F48" s="52">
        <v>42287</v>
      </c>
      <c r="G48" s="53">
        <v>0.83333333333333337</v>
      </c>
      <c r="H48" s="54" t="s">
        <v>4</v>
      </c>
      <c r="J48" s="51" t="str">
        <f>IF('Prediction Sheet'!H48&lt;&gt;"",'Prediction Sheet'!H48,"")</f>
        <v/>
      </c>
      <c r="K48" s="55" t="s">
        <v>25</v>
      </c>
      <c r="L48" s="51" t="str">
        <f>IF('Prediction Sheet'!J48&lt;&gt;"",'Prediction Sheet'!J48,"")</f>
        <v/>
      </c>
      <c r="N48" s="56" t="s">
        <v>2</v>
      </c>
      <c r="O48" s="51" t="str">
        <f>IF('Prediction Sheet'!L48&lt;&gt;"",'Prediction Sheet'!L48,"")</f>
        <v/>
      </c>
      <c r="P48" s="50" t="s">
        <v>25</v>
      </c>
      <c r="Q48" s="51" t="str">
        <f>IF('Prediction Sheet'!N48&lt;&gt;"",'Prediction Sheet'!N48,"")</f>
        <v/>
      </c>
      <c r="R48" s="43" t="s">
        <v>56</v>
      </c>
      <c r="DL48" s="44"/>
    </row>
    <row r="49" spans="3:116" s="43" customFormat="1" ht="18" customHeight="1" x14ac:dyDescent="0.3">
      <c r="D49" s="50">
        <v>37</v>
      </c>
      <c r="E49" s="51" t="s">
        <v>10</v>
      </c>
      <c r="F49" s="52">
        <v>42288</v>
      </c>
      <c r="G49" s="53">
        <v>0.5</v>
      </c>
      <c r="H49" s="54" t="s">
        <v>3</v>
      </c>
      <c r="J49" s="51" t="str">
        <f>IF('Prediction Sheet'!H49&lt;&gt;"",'Prediction Sheet'!H49,"")</f>
        <v/>
      </c>
      <c r="K49" s="55" t="s">
        <v>25</v>
      </c>
      <c r="L49" s="51" t="str">
        <f>IF('Prediction Sheet'!J49&lt;&gt;"",'Prediction Sheet'!J49,"")</f>
        <v/>
      </c>
      <c r="N49" s="56" t="s">
        <v>49</v>
      </c>
      <c r="O49" s="51" t="str">
        <f>IF('Prediction Sheet'!L49&lt;&gt;"",'Prediction Sheet'!L49,"")</f>
        <v/>
      </c>
      <c r="P49" s="50" t="s">
        <v>25</v>
      </c>
      <c r="Q49" s="51" t="str">
        <f>IF('Prediction Sheet'!N49&lt;&gt;"",'Prediction Sheet'!N49,"")</f>
        <v/>
      </c>
      <c r="R49" s="43" t="s">
        <v>55</v>
      </c>
      <c r="DL49" s="44"/>
    </row>
    <row r="50" spans="3:116" s="43" customFormat="1" ht="18" customHeight="1" x14ac:dyDescent="0.3">
      <c r="D50" s="50">
        <v>38</v>
      </c>
      <c r="E50" s="51" t="s">
        <v>20</v>
      </c>
      <c r="F50" s="52">
        <v>42288</v>
      </c>
      <c r="G50" s="53">
        <v>0.60416666666666663</v>
      </c>
      <c r="H50" s="54" t="s">
        <v>17</v>
      </c>
      <c r="J50" s="51" t="str">
        <f>IF('Prediction Sheet'!H50&lt;&gt;"",'Prediction Sheet'!H50,"")</f>
        <v/>
      </c>
      <c r="K50" s="55" t="s">
        <v>25</v>
      </c>
      <c r="L50" s="51" t="str">
        <f>IF('Prediction Sheet'!J50&lt;&gt;"",'Prediction Sheet'!J50,"")</f>
        <v/>
      </c>
      <c r="N50" s="56" t="s">
        <v>47</v>
      </c>
      <c r="O50" s="51" t="str">
        <f>IF('Prediction Sheet'!L50&lt;&gt;"",'Prediction Sheet'!L50,"")</f>
        <v/>
      </c>
      <c r="P50" s="50" t="s">
        <v>25</v>
      </c>
      <c r="Q50" s="51" t="str">
        <f>IF('Prediction Sheet'!N50&lt;&gt;"",'Prediction Sheet'!N50,"")</f>
        <v/>
      </c>
      <c r="R50" s="43" t="s">
        <v>52</v>
      </c>
      <c r="DL50" s="44"/>
    </row>
    <row r="51" spans="3:116" s="43" customFormat="1" ht="18" customHeight="1" x14ac:dyDescent="0.3">
      <c r="D51" s="50">
        <v>39</v>
      </c>
      <c r="E51" s="51" t="s">
        <v>20</v>
      </c>
      <c r="F51" s="52">
        <v>42288</v>
      </c>
      <c r="G51" s="53">
        <v>0.69791666666666663</v>
      </c>
      <c r="H51" s="54" t="s">
        <v>18</v>
      </c>
      <c r="J51" s="51" t="str">
        <f>IF('Prediction Sheet'!H51&lt;&gt;"",'Prediction Sheet'!H51,"")</f>
        <v/>
      </c>
      <c r="K51" s="55" t="s">
        <v>25</v>
      </c>
      <c r="L51" s="51" t="str">
        <f>IF('Prediction Sheet'!J51&lt;&gt;"",'Prediction Sheet'!J51,"")</f>
        <v/>
      </c>
      <c r="N51" s="56" t="s">
        <v>37</v>
      </c>
      <c r="O51" s="51" t="str">
        <f>IF('Prediction Sheet'!L51&lt;&gt;"",'Prediction Sheet'!L51,"")</f>
        <v/>
      </c>
      <c r="P51" s="50" t="s">
        <v>25</v>
      </c>
      <c r="Q51" s="51" t="str">
        <f>IF('Prediction Sheet'!N51&lt;&gt;"",'Prediction Sheet'!N51,"")</f>
        <v/>
      </c>
      <c r="R51" s="43" t="s">
        <v>39</v>
      </c>
      <c r="DL51" s="44"/>
    </row>
    <row r="52" spans="3:116" s="43" customFormat="1" ht="18" customHeight="1" x14ac:dyDescent="0.3">
      <c r="D52" s="50">
        <v>40</v>
      </c>
      <c r="E52" s="51" t="s">
        <v>9</v>
      </c>
      <c r="F52" s="52">
        <v>42288</v>
      </c>
      <c r="G52" s="53">
        <v>0.83333333333333337</v>
      </c>
      <c r="H52" s="54" t="s">
        <v>5</v>
      </c>
      <c r="J52" s="51" t="str">
        <f>IF('Prediction Sheet'!H52&lt;&gt;"",'Prediction Sheet'!H52,"")</f>
        <v/>
      </c>
      <c r="K52" s="55" t="s">
        <v>25</v>
      </c>
      <c r="L52" s="51" t="str">
        <f>IF('Prediction Sheet'!J52&lt;&gt;"",'Prediction Sheet'!J52,"")</f>
        <v/>
      </c>
      <c r="N52" s="56" t="s">
        <v>7</v>
      </c>
      <c r="O52" s="51" t="str">
        <f>IF('Prediction Sheet'!L52&lt;&gt;"",'Prediction Sheet'!L52,"")</f>
        <v/>
      </c>
      <c r="P52" s="50" t="s">
        <v>25</v>
      </c>
      <c r="Q52" s="51" t="str">
        <f>IF('Prediction Sheet'!N52&lt;&gt;"",'Prediction Sheet'!N52,"")</f>
        <v/>
      </c>
      <c r="R52" s="43" t="s">
        <v>36</v>
      </c>
      <c r="DL52" s="44"/>
    </row>
    <row r="53" spans="3:116" s="43" customFormat="1" ht="18" customHeight="1" x14ac:dyDescent="0.3">
      <c r="F53" s="49"/>
      <c r="DL53" s="44"/>
    </row>
    <row r="54" spans="3:116" s="43" customFormat="1" ht="18" customHeight="1" x14ac:dyDescent="0.3">
      <c r="F54" s="49"/>
      <c r="DI54" s="44"/>
    </row>
    <row r="55" spans="3:116" s="43" customFormat="1" ht="18" customHeight="1" x14ac:dyDescent="0.3">
      <c r="C55" s="122" t="s">
        <v>68</v>
      </c>
      <c r="D55" s="122"/>
      <c r="E55" s="122"/>
      <c r="F55" s="49"/>
      <c r="G55" s="118" t="s">
        <v>65</v>
      </c>
      <c r="H55" s="118"/>
      <c r="I55" s="118"/>
      <c r="J55" s="118"/>
      <c r="K55" s="45"/>
      <c r="L55" s="45"/>
      <c r="M55" s="118" t="s">
        <v>66</v>
      </c>
      <c r="N55" s="118"/>
      <c r="O55" s="118"/>
      <c r="P55" s="118"/>
      <c r="Q55" s="45"/>
      <c r="R55" s="118" t="s">
        <v>13</v>
      </c>
      <c r="S55" s="118"/>
      <c r="T55" s="118"/>
      <c r="U55" s="118"/>
      <c r="V55" s="118"/>
      <c r="W55" s="118"/>
      <c r="X55" s="118"/>
      <c r="Y55" s="118"/>
      <c r="Z55" s="118"/>
      <c r="DE55" s="44"/>
    </row>
    <row r="56" spans="3:116" s="43" customFormat="1" ht="18" customHeight="1" x14ac:dyDescent="0.3">
      <c r="C56" s="122"/>
      <c r="D56" s="122"/>
      <c r="E56" s="122"/>
      <c r="F56" s="49"/>
      <c r="DE56" s="44"/>
    </row>
    <row r="57" spans="3:116" s="43" customFormat="1" ht="18" customHeight="1" x14ac:dyDescent="0.3">
      <c r="C57" s="122"/>
      <c r="D57" s="122"/>
      <c r="E57" s="122"/>
      <c r="F57" s="49"/>
      <c r="G57" s="51">
        <v>41</v>
      </c>
      <c r="H57" s="74">
        <v>42294.666666666664</v>
      </c>
      <c r="DE57" s="44"/>
    </row>
    <row r="58" spans="3:116" s="43" customFormat="1" ht="18" customHeight="1" x14ac:dyDescent="0.3">
      <c r="C58" s="122"/>
      <c r="D58" s="122"/>
      <c r="E58" s="122"/>
      <c r="F58" s="49"/>
      <c r="G58" s="43">
        <v>2</v>
      </c>
      <c r="H58" s="50" t="str">
        <f>IF(SUM(AG19:AG23)=20,AD19,"Winner Pool B")</f>
        <v>Winner Pool B</v>
      </c>
      <c r="I58" s="51" t="str">
        <f>IF('Prediction Sheet'!H64&lt;&gt;"",'Prediction Sheet'!H64,"")</f>
        <v/>
      </c>
      <c r="J58" s="51"/>
      <c r="DE58" s="44"/>
    </row>
    <row r="59" spans="3:116" s="43" customFormat="1" ht="18" customHeight="1" x14ac:dyDescent="0.3">
      <c r="C59" s="122"/>
      <c r="D59" s="122"/>
      <c r="E59" s="122"/>
      <c r="F59" s="49"/>
      <c r="G59" s="43">
        <v>1</v>
      </c>
      <c r="H59" s="50" t="str">
        <f>IF(SUM(AG12:AG16)=20,AD13,"Runner Up Pool A")</f>
        <v>Runner Up Pool A</v>
      </c>
      <c r="I59" s="51" t="str">
        <f>IF('Prediction Sheet'!J64&lt;&gt;"",'Prediction Sheet'!J64,"")</f>
        <v/>
      </c>
      <c r="J59" s="51"/>
      <c r="K59" s="50"/>
      <c r="DE59" s="44"/>
    </row>
    <row r="60" spans="3:116" s="43" customFormat="1" ht="18" customHeight="1" x14ac:dyDescent="0.3">
      <c r="C60" s="122"/>
      <c r="D60" s="122"/>
      <c r="E60" s="122"/>
      <c r="F60" s="49"/>
      <c r="H60" s="68" t="s">
        <v>33</v>
      </c>
      <c r="I60" s="45"/>
      <c r="J60" s="45"/>
      <c r="K60" s="50"/>
      <c r="M60" s="51">
        <v>45</v>
      </c>
      <c r="N60" s="74">
        <v>42301.666666666664</v>
      </c>
      <c r="DE60" s="44"/>
    </row>
    <row r="61" spans="3:116" s="43" customFormat="1" ht="18" customHeight="1" x14ac:dyDescent="0.3">
      <c r="C61" s="122"/>
      <c r="D61" s="122"/>
      <c r="E61" s="122"/>
      <c r="F61" s="49"/>
      <c r="H61" s="59"/>
      <c r="I61" s="45"/>
      <c r="J61" s="45"/>
      <c r="M61" s="43" t="str">
        <f>IF(N61=H58,G58,IF(N61=H59,G59,""))</f>
        <v/>
      </c>
      <c r="N61" s="59" t="str">
        <f>IF(AND(I58&lt;&gt;"",I59&lt;&gt;""),IF(I58&gt;I59,H58,IF(I58=I59,IF(J58&gt;J59,H58,IF(J59&gt;J58,H59,"")),H59)),"Match 41 Winner")</f>
        <v>Match 41 Winner</v>
      </c>
      <c r="O61" s="51" t="str">
        <f>IF('Prediction Sheet'!H68&lt;&gt;"",'Prediction Sheet'!H68,"")</f>
        <v/>
      </c>
      <c r="P61" s="51"/>
      <c r="DE61" s="44"/>
    </row>
    <row r="62" spans="3:116" s="43" customFormat="1" ht="18" customHeight="1" x14ac:dyDescent="0.3">
      <c r="C62" s="122"/>
      <c r="D62" s="122"/>
      <c r="E62" s="122"/>
      <c r="F62" s="49"/>
      <c r="H62" s="59"/>
      <c r="I62" s="45"/>
      <c r="J62" s="45"/>
      <c r="M62" s="43" t="str">
        <f>IF(N62=H64,G64,IF(N62=H65,G65,""))</f>
        <v/>
      </c>
      <c r="N62" s="59" t="str">
        <f>IF(AND(I64&lt;&gt;"",I65&lt;&gt;""),IF(I64&gt;I65,H64,IF(I64=I65,IF(J64&gt;J65,H64,IF(J65&gt;J64,H65,"")),H65)),"Match 42 Winner")</f>
        <v>Match 42 Winner</v>
      </c>
      <c r="O62" s="51" t="str">
        <f>IF('Prediction Sheet'!J68&lt;&gt;"",'Prediction Sheet'!J68,"")</f>
        <v/>
      </c>
      <c r="P62" s="51"/>
      <c r="DE62" s="44"/>
    </row>
    <row r="63" spans="3:116" s="43" customFormat="1" ht="18" customHeight="1" x14ac:dyDescent="0.3">
      <c r="C63" s="122"/>
      <c r="D63" s="122"/>
      <c r="E63" s="122"/>
      <c r="F63" s="49"/>
      <c r="G63" s="51">
        <v>42</v>
      </c>
      <c r="H63" s="74">
        <v>42294.833333333336</v>
      </c>
      <c r="I63" s="45"/>
      <c r="J63" s="45"/>
      <c r="N63" s="68" t="s">
        <v>33</v>
      </c>
      <c r="O63" s="45"/>
      <c r="P63" s="45"/>
      <c r="DE63" s="44"/>
    </row>
    <row r="64" spans="3:116" s="43" customFormat="1" ht="18" customHeight="1" x14ac:dyDescent="0.3">
      <c r="C64" s="122"/>
      <c r="D64" s="122"/>
      <c r="E64" s="122"/>
      <c r="F64" s="49"/>
      <c r="G64" s="43">
        <v>3</v>
      </c>
      <c r="H64" s="50" t="str">
        <f>IF(SUM(AG26:AG30)=20,AD26,"Winner Pool C")</f>
        <v>Winner Pool C</v>
      </c>
      <c r="I64" s="51" t="str">
        <f>IF('Prediction Sheet'!H65&lt;&gt;"",'Prediction Sheet'!H65,"")</f>
        <v/>
      </c>
      <c r="J64" s="51"/>
      <c r="N64" s="50"/>
      <c r="O64" s="45"/>
      <c r="P64" s="45"/>
      <c r="DE64" s="44"/>
    </row>
    <row r="65" spans="3:109" s="43" customFormat="1" ht="18" customHeight="1" x14ac:dyDescent="0.3">
      <c r="C65" s="122"/>
      <c r="D65" s="122"/>
      <c r="E65" s="122"/>
      <c r="F65" s="49"/>
      <c r="G65" s="43">
        <v>4</v>
      </c>
      <c r="H65" s="50" t="str">
        <f>IF(SUM(AG33:AG37)=20,AD34,"Runner Up Pool D")</f>
        <v>Runner Up Pool D</v>
      </c>
      <c r="I65" s="51" t="str">
        <f>IF('Prediction Sheet'!J65&lt;&gt;"",'Prediction Sheet'!J65,"")</f>
        <v/>
      </c>
      <c r="J65" s="51"/>
      <c r="K65" s="50"/>
      <c r="N65" s="50"/>
      <c r="O65" s="45"/>
      <c r="P65" s="45"/>
      <c r="DE65" s="44"/>
    </row>
    <row r="66" spans="3:109" s="43" customFormat="1" ht="18" customHeight="1" x14ac:dyDescent="0.3">
      <c r="C66" s="122"/>
      <c r="D66" s="122"/>
      <c r="E66" s="122"/>
      <c r="F66" s="49"/>
      <c r="H66" s="59" t="s">
        <v>39</v>
      </c>
      <c r="I66" s="45"/>
      <c r="J66" s="45"/>
      <c r="K66" s="50"/>
      <c r="N66" s="50"/>
      <c r="O66" s="45"/>
      <c r="P66" s="45"/>
      <c r="R66" s="51">
        <v>48</v>
      </c>
      <c r="S66" s="119">
        <v>42308.666666666664</v>
      </c>
      <c r="T66" s="119"/>
      <c r="U66" s="119"/>
      <c r="V66" s="119"/>
      <c r="W66" s="119"/>
      <c r="X66" s="119"/>
      <c r="DE66" s="44"/>
    </row>
    <row r="67" spans="3:109" s="43" customFormat="1" ht="18" customHeight="1" x14ac:dyDescent="0.3">
      <c r="C67" s="122"/>
      <c r="D67" s="122"/>
      <c r="E67" s="122"/>
      <c r="F67" s="49"/>
      <c r="H67" s="59"/>
      <c r="I67" s="45"/>
      <c r="J67" s="45"/>
      <c r="K67" s="50"/>
      <c r="N67" s="50"/>
      <c r="O67" s="45"/>
      <c r="P67" s="45"/>
      <c r="R67" s="43" t="str">
        <f>IF(N61=S67,M61,IF(N62=S67,M62,""))</f>
        <v/>
      </c>
      <c r="S67" s="116" t="str">
        <f>IF(AND(O61&lt;&gt;"",O62&lt;&gt;""),IF(O61&gt;O62,N61,IF(O61=O62,IF(P61&gt;P62,N61,IF(P62&gt;P61,N62,"")),N62)),"Match 45 Winner")</f>
        <v>Match 45 Winner</v>
      </c>
      <c r="T67" s="116"/>
      <c r="U67" s="116"/>
      <c r="V67" s="116"/>
      <c r="W67" s="116"/>
      <c r="X67" s="116"/>
      <c r="Y67" s="51" t="str">
        <f>IF('Prediction Sheet'!H71&lt;&gt;"",'Prediction Sheet'!H71,"")</f>
        <v/>
      </c>
      <c r="Z67" s="51"/>
      <c r="DE67" s="44"/>
    </row>
    <row r="68" spans="3:109" s="43" customFormat="1" ht="18" customHeight="1" x14ac:dyDescent="0.3">
      <c r="C68" s="122"/>
      <c r="D68" s="122"/>
      <c r="E68" s="122"/>
      <c r="F68" s="49"/>
      <c r="H68" s="59"/>
      <c r="I68" s="45"/>
      <c r="J68" s="45"/>
      <c r="K68" s="50"/>
      <c r="N68" s="50"/>
      <c r="O68" s="45"/>
      <c r="P68" s="45"/>
      <c r="R68" s="43" t="str">
        <f>IF(S68=N73,M73,IF(S68=N74,M74,""))</f>
        <v/>
      </c>
      <c r="S68" s="116" t="str">
        <f>IF(AND(O73&lt;&gt;"",O74&lt;&gt;""),IF(O73&gt;O74,N73,IF(O73=O74,IF(P73&gt;P74,N73,IF(P74&gt;P73,N74,"")),N74)),"Match 46 Winner")</f>
        <v>Match 46 Winner</v>
      </c>
      <c r="T68" s="116"/>
      <c r="U68" s="116"/>
      <c r="V68" s="116"/>
      <c r="W68" s="116"/>
      <c r="X68" s="116"/>
      <c r="Y68" s="51" t="str">
        <f>IF('Prediction Sheet'!J71&lt;&gt;"",'Prediction Sheet'!J71,"")</f>
        <v/>
      </c>
      <c r="Z68" s="51"/>
      <c r="DE68" s="44"/>
    </row>
    <row r="69" spans="3:109" s="43" customFormat="1" ht="18" customHeight="1" x14ac:dyDescent="0.3">
      <c r="C69" s="122"/>
      <c r="D69" s="122"/>
      <c r="E69" s="122"/>
      <c r="F69" s="49"/>
      <c r="G69" s="51">
        <v>43</v>
      </c>
      <c r="H69" s="74">
        <v>42295.541666666664</v>
      </c>
      <c r="I69" s="45"/>
      <c r="J69" s="45"/>
      <c r="O69" s="45"/>
      <c r="P69" s="45"/>
      <c r="S69" s="118" t="s">
        <v>33</v>
      </c>
      <c r="T69" s="118"/>
      <c r="U69" s="118"/>
      <c r="V69" s="118"/>
      <c r="W69" s="118"/>
      <c r="X69" s="118"/>
      <c r="Y69" s="45"/>
      <c r="DE69" s="44"/>
    </row>
    <row r="70" spans="3:109" s="43" customFormat="1" ht="18" customHeight="1" x14ac:dyDescent="0.3">
      <c r="C70" s="122"/>
      <c r="D70" s="122"/>
      <c r="E70" s="122"/>
      <c r="F70" s="49"/>
      <c r="G70" s="43">
        <v>4</v>
      </c>
      <c r="H70" s="50" t="str">
        <f>IF(SUM(AG33:AG37)=20,AD33,"Winner Pool D")</f>
        <v>Winner Pool D</v>
      </c>
      <c r="I70" s="51" t="str">
        <f>IF('Prediction Sheet'!H66&lt;&gt;"",'Prediction Sheet'!H66,"")</f>
        <v/>
      </c>
      <c r="J70" s="51"/>
      <c r="O70" s="45"/>
      <c r="P70" s="45"/>
      <c r="Y70" s="45"/>
      <c r="DE70" s="44"/>
    </row>
    <row r="71" spans="3:109" s="43" customFormat="1" ht="18" customHeight="1" x14ac:dyDescent="0.3">
      <c r="C71" s="122"/>
      <c r="D71" s="122"/>
      <c r="E71" s="122"/>
      <c r="F71" s="49"/>
      <c r="G71" s="43">
        <v>3</v>
      </c>
      <c r="H71" s="50" t="str">
        <f>IF(SUM(AG26:AG30)=20,AD27,"Runner Up Pool C")</f>
        <v>Runner Up Pool C</v>
      </c>
      <c r="I71" s="51" t="str">
        <f>IF('Prediction Sheet'!J66&lt;&gt;"",'Prediction Sheet'!J66,"")</f>
        <v/>
      </c>
      <c r="J71" s="51"/>
      <c r="O71" s="45"/>
      <c r="P71" s="45"/>
      <c r="Y71" s="45"/>
      <c r="DE71" s="44"/>
    </row>
    <row r="72" spans="3:109" s="43" customFormat="1" ht="18" customHeight="1" x14ac:dyDescent="0.3">
      <c r="C72" s="122"/>
      <c r="D72" s="122"/>
      <c r="E72" s="122"/>
      <c r="F72" s="49"/>
      <c r="H72" s="68" t="s">
        <v>39</v>
      </c>
      <c r="I72" s="45"/>
      <c r="J72" s="45"/>
      <c r="M72" s="51">
        <v>46</v>
      </c>
      <c r="N72" s="74">
        <v>42302.666666666664</v>
      </c>
      <c r="O72" s="45"/>
      <c r="P72" s="45"/>
      <c r="R72" s="118" t="s">
        <v>67</v>
      </c>
      <c r="S72" s="118"/>
      <c r="T72" s="118"/>
      <c r="U72" s="118"/>
      <c r="V72" s="118"/>
      <c r="W72" s="118"/>
      <c r="X72" s="118"/>
      <c r="Y72" s="118"/>
      <c r="DE72" s="44"/>
    </row>
    <row r="73" spans="3:109" s="43" customFormat="1" ht="18" customHeight="1" x14ac:dyDescent="0.3">
      <c r="C73" s="122"/>
      <c r="D73" s="122"/>
      <c r="E73" s="122"/>
      <c r="F73" s="49"/>
      <c r="H73" s="59"/>
      <c r="I73" s="45"/>
      <c r="J73" s="45"/>
      <c r="K73" s="50"/>
      <c r="M73" s="43" t="str">
        <f>IF(N73=H70,G70,IF(N73=H71,G71,""))</f>
        <v/>
      </c>
      <c r="N73" s="59" t="str">
        <f>IF(AND(I70&lt;&gt;"",I71&lt;&gt;""),IF(I70&gt;I71,H70,IF(I70=I71,IF(J70&gt;J71,H70,IF(J71&gt;J70,H71,"")),H71)),"Match 43 Winner")</f>
        <v>Match 43 Winner</v>
      </c>
      <c r="O73" s="51" t="str">
        <f>IF('Prediction Sheet'!H69&lt;&gt;"",'Prediction Sheet'!H69,"")</f>
        <v/>
      </c>
      <c r="P73" s="51"/>
      <c r="DE73" s="44"/>
    </row>
    <row r="74" spans="3:109" s="43" customFormat="1" ht="18" customHeight="1" x14ac:dyDescent="0.3">
      <c r="C74" s="122"/>
      <c r="D74" s="122"/>
      <c r="E74" s="122"/>
      <c r="F74" s="49"/>
      <c r="H74" s="59"/>
      <c r="I74" s="45"/>
      <c r="J74" s="45"/>
      <c r="K74" s="50"/>
      <c r="M74" s="43" t="str">
        <f>IF(N74=H76,G76,IF(N74=H77,G77,""))</f>
        <v/>
      </c>
      <c r="N74" s="59" t="str">
        <f>IF(AND(I76&lt;&gt;"",I77&lt;&gt;""),IF(I76&gt;I77,H76,IF(I76=I77,IF(J76&gt;J77,H76,IF(J77&gt;J76,H77,"")),H77)),"Match 44 Winner")</f>
        <v>Match 44 Winner</v>
      </c>
      <c r="O74" s="51" t="str">
        <f>IF('Prediction Sheet'!J69&lt;&gt;"",'Prediction Sheet'!J69,"")</f>
        <v/>
      </c>
      <c r="P74" s="51"/>
      <c r="R74" s="51">
        <v>47</v>
      </c>
      <c r="S74" s="119">
        <v>42307.833333333336</v>
      </c>
      <c r="T74" s="119"/>
      <c r="U74" s="119"/>
      <c r="V74" s="119"/>
      <c r="W74" s="119"/>
      <c r="X74" s="119"/>
      <c r="Y74" s="59"/>
      <c r="DE74" s="44"/>
    </row>
    <row r="75" spans="3:109" s="43" customFormat="1" ht="18" customHeight="1" x14ac:dyDescent="0.3">
      <c r="C75" s="122"/>
      <c r="D75" s="122"/>
      <c r="E75" s="122"/>
      <c r="F75" s="49"/>
      <c r="G75" s="51">
        <v>44</v>
      </c>
      <c r="H75" s="74">
        <v>42295.666666666664</v>
      </c>
      <c r="I75" s="45"/>
      <c r="J75" s="45"/>
      <c r="N75" s="68" t="s">
        <v>33</v>
      </c>
      <c r="O75" s="45"/>
      <c r="P75" s="45"/>
      <c r="R75" s="43" t="str">
        <f>IF(N61=S67,M62,IF(N62=S67,M61,""))</f>
        <v/>
      </c>
      <c r="S75" s="116" t="str">
        <f>IF(AND(O61&lt;&gt;"",O62&lt;&gt;""),IF(O61&lt;O62,N61,IF(O61=O62,IF(P61&lt;P62,N61,IF(P62&lt;P61,N62,"")),N62)),"Match 45 Loser")</f>
        <v>Match 45 Loser</v>
      </c>
      <c r="T75" s="116"/>
      <c r="U75" s="116"/>
      <c r="V75" s="116"/>
      <c r="W75" s="116"/>
      <c r="X75" s="116"/>
      <c r="Y75" s="51" t="str">
        <f>IF('Prediction Sheet'!H70&lt;&gt;"",'Prediction Sheet'!H70,"")</f>
        <v/>
      </c>
      <c r="Z75" s="51"/>
      <c r="DE75" s="44"/>
    </row>
    <row r="76" spans="3:109" s="43" customFormat="1" ht="18" customHeight="1" x14ac:dyDescent="0.3">
      <c r="C76" s="122"/>
      <c r="D76" s="122"/>
      <c r="E76" s="122"/>
      <c r="F76" s="49"/>
      <c r="G76" s="43">
        <v>1</v>
      </c>
      <c r="H76" s="50" t="str">
        <f>IF(SUM(AG12:AG16)=20,AD12,"Winner Pool A")</f>
        <v>Winner Pool A</v>
      </c>
      <c r="I76" s="51" t="str">
        <f>IF('Prediction Sheet'!H67&lt;&gt;"",'Prediction Sheet'!H67,"")</f>
        <v/>
      </c>
      <c r="J76" s="51"/>
      <c r="N76" s="50"/>
      <c r="O76" s="45"/>
      <c r="P76" s="45"/>
      <c r="R76" s="43" t="str">
        <f>IF(S68=N73,M74,IF(S68=N74,M73,""))</f>
        <v/>
      </c>
      <c r="S76" s="116" t="str">
        <f>IF(AND(O73&lt;&gt;"",O74&lt;&gt;""),IF(O73&lt;O74,N73,IF(O73=O74,IF(P73&lt;P74,N73,IF(P74&lt;P73,N74,"")),N74)),"Match 46 Loser")</f>
        <v>Match 46 Loser</v>
      </c>
      <c r="T76" s="116"/>
      <c r="U76" s="116"/>
      <c r="V76" s="116"/>
      <c r="W76" s="116"/>
      <c r="X76" s="116"/>
      <c r="Y76" s="51" t="str">
        <f>IF('Prediction Sheet'!J70&lt;&gt;"",'Prediction Sheet'!J70,"")</f>
        <v/>
      </c>
      <c r="Z76" s="51"/>
      <c r="DE76" s="44"/>
    </row>
    <row r="77" spans="3:109" s="43" customFormat="1" ht="18" customHeight="1" x14ac:dyDescent="0.3">
      <c r="C77" s="122"/>
      <c r="D77" s="122"/>
      <c r="E77" s="122"/>
      <c r="F77" s="49"/>
      <c r="G77" s="43">
        <v>2</v>
      </c>
      <c r="H77" s="50" t="str">
        <f>IF(SUM(AG19:AG23)=20,AD20,"Runner Up Pool B")</f>
        <v>Runner Up Pool B</v>
      </c>
      <c r="I77" s="51" t="str">
        <f>IF('Prediction Sheet'!J67&lt;&gt;"",'Prediction Sheet'!J67,"")</f>
        <v/>
      </c>
      <c r="J77" s="51"/>
      <c r="N77" s="50"/>
      <c r="O77" s="45"/>
      <c r="P77" s="45"/>
      <c r="S77" s="118" t="s">
        <v>48</v>
      </c>
      <c r="T77" s="118"/>
      <c r="U77" s="118"/>
      <c r="V77" s="118"/>
      <c r="W77" s="118"/>
      <c r="X77" s="118"/>
      <c r="DE77" s="44"/>
    </row>
    <row r="78" spans="3:109" s="43" customFormat="1" ht="18" customHeight="1" x14ac:dyDescent="0.3">
      <c r="C78" s="122"/>
      <c r="D78" s="122"/>
      <c r="E78" s="122"/>
      <c r="F78" s="49"/>
      <c r="H78" s="68" t="s">
        <v>33</v>
      </c>
      <c r="I78" s="45"/>
      <c r="J78" s="45"/>
      <c r="N78" s="50"/>
      <c r="O78" s="45"/>
      <c r="P78" s="45"/>
      <c r="Y78" s="45"/>
      <c r="DE78" s="44"/>
    </row>
    <row r="79" spans="3:109" s="43" customFormat="1" ht="18" customHeight="1" x14ac:dyDescent="0.3">
      <c r="C79" s="122"/>
      <c r="D79" s="122"/>
      <c r="E79" s="122"/>
      <c r="F79" s="49"/>
      <c r="H79" s="59"/>
      <c r="I79" s="45"/>
      <c r="J79" s="45"/>
      <c r="K79" s="50"/>
      <c r="O79" s="45"/>
      <c r="P79" s="45"/>
      <c r="Y79" s="45"/>
      <c r="DE79" s="44"/>
    </row>
    <row r="80" spans="3:109" s="43" customFormat="1" ht="18" customHeight="1" x14ac:dyDescent="0.3">
      <c r="F80" s="49"/>
      <c r="H80" s="65"/>
      <c r="AI80" s="42"/>
      <c r="AJ80" s="51"/>
      <c r="DE80" s="44"/>
    </row>
    <row r="81" spans="2:109" s="43" customFormat="1" ht="15" customHeight="1" x14ac:dyDescent="0.3">
      <c r="B81" s="43" t="s">
        <v>70</v>
      </c>
      <c r="DE81" s="44"/>
    </row>
    <row r="82" spans="2:109" s="43" customFormat="1" ht="15" customHeight="1" x14ac:dyDescent="0.3">
      <c r="F82" s="49"/>
      <c r="AI82" s="42"/>
      <c r="AJ82" s="51"/>
      <c r="DE82" s="44"/>
    </row>
    <row r="83" spans="2:109" hidden="1" x14ac:dyDescent="0.3"/>
    <row r="84" spans="2:109" hidden="1" x14ac:dyDescent="0.3"/>
    <row r="85" spans="2:109" hidden="1" x14ac:dyDescent="0.3"/>
    <row r="86" spans="2:109" hidden="1" x14ac:dyDescent="0.3"/>
    <row r="87" spans="2:109" hidden="1" x14ac:dyDescent="0.3"/>
    <row r="88" spans="2:109" hidden="1" x14ac:dyDescent="0.3"/>
    <row r="89" spans="2:109" hidden="1" x14ac:dyDescent="0.3"/>
    <row r="90" spans="2:109" hidden="1" x14ac:dyDescent="0.3"/>
    <row r="91" spans="2:109" hidden="1" x14ac:dyDescent="0.3"/>
    <row r="92" spans="2:109" hidden="1" x14ac:dyDescent="0.3"/>
    <row r="93" spans="2:109" hidden="1" x14ac:dyDescent="0.3"/>
    <row r="94" spans="2:109" hidden="1" x14ac:dyDescent="0.3"/>
    <row r="95" spans="2:109" hidden="1" x14ac:dyDescent="0.3"/>
    <row r="96" spans="2:109"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x14ac:dyDescent="0.3"/>
    <row r="171" x14ac:dyDescent="0.3"/>
    <row r="172" x14ac:dyDescent="0.3"/>
    <row r="173" x14ac:dyDescent="0.3"/>
    <row r="174" x14ac:dyDescent="0.3"/>
    <row r="175" x14ac:dyDescent="0.3"/>
    <row r="176" x14ac:dyDescent="0.3"/>
    <row r="177" x14ac:dyDescent="0.3"/>
  </sheetData>
  <sheetProtection algorithmName="SHA-512" hashValue="ian0zN3EFBPsidKjvToKfQiXlR709zYtdwG5YIeSadkd+MXeROfCg+3pL+Saybnebk/h0l1JWJvPlHVWcj5Sqw==" saltValue="B6QgukcU9KhcQIe9oosxRg==" spinCount="100000" sheet="1" objects="1" scenarios="1" selectLockedCells="1" selectUnlockedCells="1"/>
  <mergeCells count="41">
    <mergeCell ref="J11:L11"/>
    <mergeCell ref="G55:J55"/>
    <mergeCell ref="M55:P55"/>
    <mergeCell ref="AC11:AF11"/>
    <mergeCell ref="R55:Z55"/>
    <mergeCell ref="AD19:AF19"/>
    <mergeCell ref="O11:Q11"/>
    <mergeCell ref="AD20:AF20"/>
    <mergeCell ref="AD21:AF21"/>
    <mergeCell ref="AD22:AF22"/>
    <mergeCell ref="AD26:AF26"/>
    <mergeCell ref="AD27:AF27"/>
    <mergeCell ref="AD12:AF12"/>
    <mergeCell ref="AD13:AF13"/>
    <mergeCell ref="AD14:AF14"/>
    <mergeCell ref="AD15:AF15"/>
    <mergeCell ref="S77:X77"/>
    <mergeCell ref="N3:R3"/>
    <mergeCell ref="X3:AM5"/>
    <mergeCell ref="C55:E79"/>
    <mergeCell ref="C9:AA9"/>
    <mergeCell ref="AC9:AQ9"/>
    <mergeCell ref="B7:AR7"/>
    <mergeCell ref="AD36:AF36"/>
    <mergeCell ref="AD16:AF16"/>
    <mergeCell ref="AD23:AF23"/>
    <mergeCell ref="AD30:AF30"/>
    <mergeCell ref="AD37:AF37"/>
    <mergeCell ref="AD28:AF28"/>
    <mergeCell ref="AD29:AF29"/>
    <mergeCell ref="AD33:AF33"/>
    <mergeCell ref="S74:X74"/>
    <mergeCell ref="S75:X75"/>
    <mergeCell ref="S76:X76"/>
    <mergeCell ref="AD34:AF34"/>
    <mergeCell ref="AD35:AF35"/>
    <mergeCell ref="R72:Y72"/>
    <mergeCell ref="S68:X68"/>
    <mergeCell ref="S66:X66"/>
    <mergeCell ref="S69:X69"/>
    <mergeCell ref="S67:X67"/>
  </mergeCells>
  <phoneticPr fontId="1" type="noConversion"/>
  <dataValidations count="3">
    <dataValidation type="list" allowBlank="1" showInputMessage="1" showErrorMessage="1" sqref="H5">
      <formula1>PoolTeam</formula1>
    </dataValidation>
    <dataValidation type="list" allowBlank="1" showInputMessage="1" showErrorMessage="1" sqref="H3">
      <formula1>"A,B,C,D"</formula1>
    </dataValidation>
    <dataValidation type="list" allowBlank="1" showInputMessage="1" showErrorMessage="1" sqref="N3">
      <formula1>Venues</formula1>
    </dataValidation>
  </dataValidations>
  <hyperlinks>
    <hyperlink ref="Z3:AF5" r:id="rId1" display="VISIT WWW.EXCELTEMPLATE.NET FOR MORE TEMPLATES"/>
    <hyperlink ref="X3" r:id="rId2" display="VISIT WWW.EXCELTEMPLATE.NET FOR MORE TEMPLATES AND UPDATES"/>
  </hyperlinks>
  <printOptions horizontalCentered="1" verticalCentered="1"/>
  <pageMargins left="0.39" right="0.32" top="0.28999999999999998" bottom="0.39" header="0.21" footer="0.26"/>
  <pageSetup scale="49" orientation="portrait" horizontalDpi="300" verticalDpi="300" r:id="rId3"/>
  <headerFooter alignWithMargins="0"/>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N51"/>
  <sheetViews>
    <sheetView showGridLines="0" topLeftCell="CD1" zoomScale="80" zoomScaleNormal="80" workbookViewId="0">
      <selection activeCell="CT4" sqref="CT4"/>
    </sheetView>
  </sheetViews>
  <sheetFormatPr defaultColWidth="9.109375" defaultRowHeight="12.6" x14ac:dyDescent="0.2"/>
  <cols>
    <col min="1" max="1" width="2.33203125" style="75" bestFit="1" customWidth="1"/>
    <col min="2" max="2" width="13.5546875" style="75" bestFit="1" customWidth="1"/>
    <col min="3" max="3" width="31.21875" style="75" bestFit="1" customWidth="1"/>
    <col min="4" max="5" width="2.33203125" style="75" bestFit="1" customWidth="1"/>
    <col min="6" max="7" width="3.5546875" style="75" bestFit="1" customWidth="1"/>
    <col min="8" max="8" width="6" style="75" bestFit="1" customWidth="1"/>
    <col min="9" max="10" width="3.5546875" style="75" bestFit="1" customWidth="1"/>
    <col min="11" max="11" width="6" style="75" bestFit="1" customWidth="1"/>
    <col min="12" max="12" width="3.5546875" style="75" bestFit="1" customWidth="1"/>
    <col min="13" max="14" width="2.33203125" style="75" bestFit="1" customWidth="1"/>
    <col min="15" max="16" width="3.5546875" style="75" bestFit="1" customWidth="1"/>
    <col min="17" max="17" width="2.33203125" style="75" bestFit="1" customWidth="1"/>
    <col min="18" max="18" width="2.77734375" style="75" customWidth="1"/>
    <col min="19" max="19" width="2.33203125" style="75" bestFit="1" customWidth="1"/>
    <col min="20" max="20" width="13.5546875" style="75" bestFit="1" customWidth="1"/>
    <col min="21" max="21" width="2.33203125" style="75" bestFit="1" customWidth="1"/>
    <col min="22" max="22" width="8.33203125" style="75" bestFit="1" customWidth="1"/>
    <col min="23" max="23" width="12.77734375" style="75" bestFit="1" customWidth="1"/>
    <col min="24" max="24" width="10.33203125" style="75" bestFit="1" customWidth="1"/>
    <col min="25" max="26" width="2.77734375" style="75" customWidth="1"/>
    <col min="27" max="27" width="8.33203125" style="75" bestFit="1" customWidth="1"/>
    <col min="28" max="30" width="2.33203125" style="75" bestFit="1" customWidth="1"/>
    <col min="31" max="32" width="3.5546875" style="75" bestFit="1" customWidth="1"/>
    <col min="33" max="33" width="6" style="75" bestFit="1" customWidth="1"/>
    <col min="34" max="34" width="2.33203125" style="75" bestFit="1" customWidth="1"/>
    <col min="35" max="35" width="3.44140625" style="75" bestFit="1" customWidth="1"/>
    <col min="36" max="36" width="6" style="75" bestFit="1" customWidth="1"/>
    <col min="37" max="37" width="3.5546875" style="75" bestFit="1" customWidth="1"/>
    <col min="38" max="38" width="2.33203125" style="75" bestFit="1" customWidth="1"/>
    <col min="39" max="39" width="3.5546875" style="75" bestFit="1" customWidth="1"/>
    <col min="40" max="49" width="2.33203125" style="75" bestFit="1" customWidth="1"/>
    <col min="50" max="50" width="8.33203125" style="75" bestFit="1" customWidth="1"/>
    <col min="51" max="51" width="12.77734375" style="75" bestFit="1" customWidth="1"/>
    <col min="52" max="54" width="2.33203125" style="75" bestFit="1" customWidth="1"/>
    <col min="55" max="56" width="3.5546875" style="75" bestFit="1" customWidth="1"/>
    <col min="57" max="57" width="6" style="75" bestFit="1" customWidth="1"/>
    <col min="58" max="58" width="2.33203125" style="75" bestFit="1" customWidth="1"/>
    <col min="59" max="59" width="3.5546875" style="75" bestFit="1" customWidth="1"/>
    <col min="60" max="60" width="6" style="75" bestFit="1" customWidth="1"/>
    <col min="61" max="61" width="3.44140625" style="75" bestFit="1" customWidth="1"/>
    <col min="62" max="62" width="2.21875" style="75" bestFit="1" customWidth="1"/>
    <col min="63" max="63" width="3.44140625" style="75" bestFit="1" customWidth="1"/>
    <col min="64" max="66" width="2.33203125" style="75" bestFit="1" customWidth="1"/>
    <col min="67" max="67" width="2.21875" style="75" bestFit="1" customWidth="1"/>
    <col min="68" max="72" width="2.33203125" style="75" bestFit="1" customWidth="1"/>
    <col min="73" max="73" width="2.21875" style="75" bestFit="1" customWidth="1"/>
    <col min="74" max="74" width="12.77734375" style="75" bestFit="1" customWidth="1"/>
    <col min="75" max="75" width="10.33203125" style="75" bestFit="1" customWidth="1"/>
    <col min="76" max="78" width="2.33203125" style="75" bestFit="1" customWidth="1"/>
    <col min="79" max="80" width="3.5546875" style="75" bestFit="1" customWidth="1"/>
    <col min="81" max="81" width="6" style="75" bestFit="1" customWidth="1"/>
    <col min="82" max="82" width="3.5546875" style="75" bestFit="1" customWidth="1"/>
    <col min="83" max="83" width="3.44140625" style="75" bestFit="1" customWidth="1"/>
    <col min="84" max="84" width="6" style="75" bestFit="1" customWidth="1"/>
    <col min="85" max="87" width="3.5546875" style="75" bestFit="1" customWidth="1"/>
    <col min="88" max="97" width="2.33203125" style="75" bestFit="1" customWidth="1"/>
    <col min="98" max="98" width="10.33203125" style="75" bestFit="1" customWidth="1"/>
    <col min="99" max="104" width="2.33203125" style="75" bestFit="1" customWidth="1"/>
    <col min="105" max="105" width="6" style="75" bestFit="1" customWidth="1"/>
    <col min="106" max="107" width="2.33203125" style="75" bestFit="1" customWidth="1"/>
    <col min="108" max="108" width="6" style="75" bestFit="1" customWidth="1"/>
    <col min="109" max="111" width="2.77734375" style="75" customWidth="1"/>
    <col min="112" max="114" width="2.33203125" style="75" bestFit="1" customWidth="1"/>
    <col min="115" max="115" width="2.77734375" style="75" customWidth="1"/>
    <col min="116" max="120" width="2.33203125" style="75" bestFit="1" customWidth="1"/>
    <col min="121" max="122" width="2.77734375" style="75" customWidth="1"/>
    <col min="123" max="123" width="13.5546875" style="75" bestFit="1" customWidth="1"/>
    <col min="124" max="124" width="2.33203125" style="75" bestFit="1" customWidth="1"/>
    <col min="125" max="125" width="3.5546875" style="75" bestFit="1" customWidth="1"/>
    <col min="126" max="126" width="13.5546875" style="75" bestFit="1" customWidth="1"/>
    <col min="127" max="128" width="3.5546875" style="75" bestFit="1" customWidth="1"/>
    <col min="129" max="129" width="10.33203125" style="75" bestFit="1" customWidth="1"/>
    <col min="130" max="135" width="2.33203125" style="75" bestFit="1" customWidth="1"/>
    <col min="136" max="137" width="3" style="75" bestFit="1" customWidth="1"/>
    <col min="138" max="138" width="2.33203125" style="75" bestFit="1" customWidth="1"/>
    <col min="139" max="139" width="19" style="75" bestFit="1" customWidth="1"/>
    <col min="140" max="142" width="2.33203125" style="75" bestFit="1" customWidth="1"/>
    <col min="143" max="144" width="3.5546875" style="75" bestFit="1" customWidth="1"/>
    <col min="145" max="145" width="6" style="75" bestFit="1" customWidth="1"/>
    <col min="146" max="147" width="3.5546875" style="75" bestFit="1" customWidth="1"/>
    <col min="148" max="148" width="6" style="75" bestFit="1" customWidth="1"/>
    <col min="149" max="149" width="3.5546875" style="75" bestFit="1" customWidth="1"/>
    <col min="150" max="151" width="2.33203125" style="75" bestFit="1" customWidth="1"/>
    <col min="152" max="153" width="3.5546875" style="75" bestFit="1" customWidth="1"/>
    <col min="154" max="154" width="2.33203125" style="75" bestFit="1" customWidth="1"/>
    <col min="155" max="155" width="2.77734375" style="75" customWidth="1"/>
    <col min="156" max="156" width="2.33203125" style="75" bestFit="1" customWidth="1"/>
    <col min="157" max="157" width="13.5546875" style="75" bestFit="1" customWidth="1"/>
    <col min="158" max="158" width="2.33203125" style="75" bestFit="1" customWidth="1"/>
    <col min="159" max="159" width="8.33203125" style="75" bestFit="1" customWidth="1"/>
    <col min="160" max="160" width="12.77734375" style="75" bestFit="1" customWidth="1"/>
    <col min="161" max="161" width="10.33203125" style="75" bestFit="1" customWidth="1"/>
    <col min="162" max="163" width="2.77734375" style="75" customWidth="1"/>
    <col min="164" max="164" width="8.33203125" style="75" bestFit="1" customWidth="1"/>
    <col min="165" max="167" width="2.33203125" style="75" bestFit="1" customWidth="1"/>
    <col min="168" max="169" width="3.5546875" style="75" bestFit="1" customWidth="1"/>
    <col min="170" max="170" width="6" style="75" bestFit="1" customWidth="1"/>
    <col min="171" max="172" width="2.33203125" style="75" bestFit="1" customWidth="1"/>
    <col min="173" max="173" width="6" style="75" bestFit="1" customWidth="1"/>
    <col min="174" max="174" width="3.5546875" style="75" bestFit="1" customWidth="1"/>
    <col min="175" max="175" width="2.33203125" style="75" bestFit="1" customWidth="1"/>
    <col min="176" max="176" width="3.5546875" style="75" bestFit="1" customWidth="1"/>
    <col min="177" max="186" width="2.33203125" style="75" bestFit="1" customWidth="1"/>
    <col min="187" max="187" width="8.33203125" style="75" bestFit="1" customWidth="1"/>
    <col min="188" max="188" width="12.77734375" style="75" bestFit="1" customWidth="1"/>
    <col min="189" max="191" width="2.33203125" style="75" bestFit="1" customWidth="1"/>
    <col min="192" max="193" width="3.5546875" style="75" bestFit="1" customWidth="1"/>
    <col min="194" max="194" width="6" style="75" bestFit="1" customWidth="1"/>
    <col min="195" max="196" width="2.33203125" style="75" bestFit="1" customWidth="1"/>
    <col min="197" max="197" width="6" style="75" bestFit="1" customWidth="1"/>
    <col min="198" max="198" width="3.44140625" style="75" bestFit="1" customWidth="1"/>
    <col min="199" max="199" width="2.21875" style="75" bestFit="1" customWidth="1"/>
    <col min="200" max="200" width="3.44140625" style="75" bestFit="1" customWidth="1"/>
    <col min="201" max="203" width="2.33203125" style="75" bestFit="1" customWidth="1"/>
    <col min="204" max="204" width="2.21875" style="75" bestFit="1" customWidth="1"/>
    <col min="205" max="209" width="2.33203125" style="75" bestFit="1" customWidth="1"/>
    <col min="210" max="210" width="2.21875" style="75" bestFit="1" customWidth="1"/>
    <col min="211" max="211" width="12.77734375" style="75" bestFit="1" customWidth="1"/>
    <col min="212" max="212" width="10.33203125" style="75" bestFit="1" customWidth="1"/>
    <col min="213" max="215" width="2.33203125" style="75" bestFit="1" customWidth="1"/>
    <col min="216" max="217" width="3.5546875" style="75" bestFit="1" customWidth="1"/>
    <col min="218" max="218" width="6" style="75" bestFit="1" customWidth="1"/>
    <col min="219" max="220" width="2.33203125" style="75" bestFit="1" customWidth="1"/>
    <col min="221" max="221" width="6" style="75" bestFit="1" customWidth="1"/>
    <col min="222" max="222" width="3.44140625" style="75" bestFit="1" customWidth="1"/>
    <col min="223" max="223" width="2.21875" style="75" bestFit="1" customWidth="1"/>
    <col min="224" max="224" width="3.44140625" style="75" bestFit="1" customWidth="1"/>
    <col min="225" max="227" width="2.33203125" style="75" bestFit="1" customWidth="1"/>
    <col min="228" max="228" width="2.21875" style="75" bestFit="1" customWidth="1"/>
    <col min="229" max="233" width="2.33203125" style="75" bestFit="1" customWidth="1"/>
    <col min="234" max="234" width="2.21875" style="75" bestFit="1" customWidth="1"/>
    <col min="235" max="235" width="10.33203125" style="75" bestFit="1" customWidth="1"/>
    <col min="236" max="241" width="2.33203125" style="75" bestFit="1" customWidth="1"/>
    <col min="242" max="242" width="6" style="75" bestFit="1" customWidth="1"/>
    <col min="243" max="244" width="2.33203125" style="75" bestFit="1" customWidth="1"/>
    <col min="245" max="245" width="6" style="75" bestFit="1" customWidth="1"/>
    <col min="246" max="248" width="2.77734375" style="75" customWidth="1"/>
    <col min="249" max="251" width="2.33203125" style="75" bestFit="1" customWidth="1"/>
    <col min="252" max="252" width="2.77734375" style="75" customWidth="1"/>
    <col min="253" max="257" width="2.33203125" style="75" bestFit="1" customWidth="1"/>
    <col min="258" max="259" width="2.77734375" style="75" customWidth="1"/>
    <col min="260" max="260" width="13.5546875" style="75" bestFit="1" customWidth="1"/>
    <col min="261" max="261" width="2.33203125" style="75" bestFit="1" customWidth="1"/>
    <col min="262" max="262" width="3.5546875" style="75" bestFit="1" customWidth="1"/>
    <col min="263" max="263" width="13.5546875" style="75" bestFit="1" customWidth="1"/>
    <col min="264" max="264" width="3.5546875" style="75" bestFit="1" customWidth="1"/>
    <col min="265" max="265" width="3.44140625" style="75" bestFit="1" customWidth="1"/>
    <col min="266" max="266" width="10.44140625" style="75" bestFit="1" customWidth="1"/>
    <col min="267" max="267" width="3.5546875" style="75" bestFit="1" customWidth="1"/>
    <col min="268" max="268" width="2.21875" style="75" bestFit="1" customWidth="1"/>
    <col min="269" max="272" width="2.33203125" style="75" bestFit="1" customWidth="1"/>
    <col min="273" max="274" width="3" style="75" bestFit="1" customWidth="1"/>
    <col min="275" max="275" width="2.33203125" style="75" bestFit="1" customWidth="1"/>
    <col min="276" max="276" width="19" style="75" bestFit="1" customWidth="1"/>
    <col min="277" max="279" width="2.33203125" style="75" bestFit="1" customWidth="1"/>
    <col min="280" max="281" width="3.5546875" style="75" bestFit="1" customWidth="1"/>
    <col min="282" max="282" width="6" style="75" bestFit="1" customWidth="1"/>
    <col min="283" max="284" width="3.5546875" style="75" bestFit="1" customWidth="1"/>
    <col min="285" max="285" width="6" style="75" bestFit="1" customWidth="1"/>
    <col min="286" max="286" width="3.5546875" style="75" bestFit="1" customWidth="1"/>
    <col min="287" max="288" width="2.33203125" style="75" bestFit="1" customWidth="1"/>
    <col min="289" max="290" width="3.5546875" style="75" bestFit="1" customWidth="1"/>
    <col min="291" max="291" width="2.33203125" style="75" bestFit="1" customWidth="1"/>
    <col min="292" max="292" width="2.77734375" style="75" customWidth="1"/>
    <col min="293" max="293" width="2.33203125" style="75" bestFit="1" customWidth="1"/>
    <col min="294" max="294" width="13.5546875" style="75" bestFit="1" customWidth="1"/>
    <col min="295" max="295" width="2.33203125" style="75" bestFit="1" customWidth="1"/>
    <col min="296" max="296" width="8.33203125" style="75" bestFit="1" customWidth="1"/>
    <col min="297" max="297" width="12.77734375" style="75" bestFit="1" customWidth="1"/>
    <col min="298" max="298" width="10.33203125" style="75" bestFit="1" customWidth="1"/>
    <col min="299" max="300" width="2.77734375" style="75" customWidth="1"/>
    <col min="301" max="301" width="8.33203125" style="75" bestFit="1" customWidth="1"/>
    <col min="302" max="304" width="2.33203125" style="75" bestFit="1" customWidth="1"/>
    <col min="305" max="306" width="3.5546875" style="75" bestFit="1" customWidth="1"/>
    <col min="307" max="307" width="6" style="75" bestFit="1" customWidth="1"/>
    <col min="308" max="309" width="2.33203125" style="75" bestFit="1" customWidth="1"/>
    <col min="310" max="310" width="6" style="75" bestFit="1" customWidth="1"/>
    <col min="311" max="311" width="3.5546875" style="75" bestFit="1" customWidth="1"/>
    <col min="312" max="312" width="2.33203125" style="75" bestFit="1" customWidth="1"/>
    <col min="313" max="313" width="3.5546875" style="75" bestFit="1" customWidth="1"/>
    <col min="314" max="323" width="2.33203125" style="75" bestFit="1" customWidth="1"/>
    <col min="324" max="324" width="8.33203125" style="75" bestFit="1" customWidth="1"/>
    <col min="325" max="325" width="12.77734375" style="75" bestFit="1" customWidth="1"/>
    <col min="326" max="328" width="2.33203125" style="75" bestFit="1" customWidth="1"/>
    <col min="329" max="330" width="3.5546875" style="75" bestFit="1" customWidth="1"/>
    <col min="331" max="331" width="6" style="75" bestFit="1" customWidth="1"/>
    <col min="332" max="333" width="2.33203125" style="75" bestFit="1" customWidth="1"/>
    <col min="334" max="334" width="6" style="75" bestFit="1" customWidth="1"/>
    <col min="335" max="335" width="3.44140625" style="75" bestFit="1" customWidth="1"/>
    <col min="336" max="336" width="2.21875" style="75" bestFit="1" customWidth="1"/>
    <col min="337" max="337" width="3.44140625" style="75" bestFit="1" customWidth="1"/>
    <col min="338" max="340" width="2.33203125" style="75" bestFit="1" customWidth="1"/>
    <col min="341" max="341" width="2.21875" style="75" bestFit="1" customWidth="1"/>
    <col min="342" max="346" width="2.33203125" style="75" bestFit="1" customWidth="1"/>
    <col min="347" max="347" width="2.21875" style="75" bestFit="1" customWidth="1"/>
    <col min="348" max="348" width="12.77734375" style="75" bestFit="1" customWidth="1"/>
    <col min="349" max="349" width="10.33203125" style="75" bestFit="1" customWidth="1"/>
    <col min="350" max="352" width="2.33203125" style="75" bestFit="1" customWidth="1"/>
    <col min="353" max="354" width="3.5546875" style="75" bestFit="1" customWidth="1"/>
    <col min="355" max="355" width="6" style="75" bestFit="1" customWidth="1"/>
    <col min="356" max="357" width="2.33203125" style="75" bestFit="1" customWidth="1"/>
    <col min="358" max="358" width="6" style="75" bestFit="1" customWidth="1"/>
    <col min="359" max="359" width="3.44140625" style="75" bestFit="1" customWidth="1"/>
    <col min="360" max="360" width="2.21875" style="75" bestFit="1" customWidth="1"/>
    <col min="361" max="361" width="3.44140625" style="75" bestFit="1" customWidth="1"/>
    <col min="362" max="364" width="2.33203125" style="75" bestFit="1" customWidth="1"/>
    <col min="365" max="365" width="2.21875" style="75" bestFit="1" customWidth="1"/>
    <col min="366" max="370" width="2.33203125" style="75" bestFit="1" customWidth="1"/>
    <col min="371" max="371" width="2.21875" style="75" bestFit="1" customWidth="1"/>
    <col min="372" max="372" width="10.33203125" style="75" bestFit="1" customWidth="1"/>
    <col min="373" max="378" width="2.33203125" style="75" bestFit="1" customWidth="1"/>
    <col min="379" max="379" width="6" style="75" bestFit="1" customWidth="1"/>
    <col min="380" max="381" width="2.33203125" style="75" bestFit="1" customWidth="1"/>
    <col min="382" max="382" width="6" style="75" bestFit="1" customWidth="1"/>
    <col min="383" max="385" width="2.77734375" style="75" customWidth="1"/>
    <col min="386" max="388" width="2.33203125" style="75" bestFit="1" customWidth="1"/>
    <col min="389" max="389" width="2.77734375" style="75" customWidth="1"/>
    <col min="390" max="394" width="2.33203125" style="75" bestFit="1" customWidth="1"/>
    <col min="395" max="396" width="2.77734375" style="75" customWidth="1"/>
    <col min="397" max="397" width="13.5546875" style="75" bestFit="1" customWidth="1"/>
    <col min="398" max="398" width="2.33203125" style="75" bestFit="1" customWidth="1"/>
    <col min="399" max="399" width="3.5546875" style="75" bestFit="1" customWidth="1"/>
    <col min="400" max="400" width="13.5546875" style="75" bestFit="1" customWidth="1"/>
    <col min="401" max="401" width="3.5546875" style="75" bestFit="1" customWidth="1"/>
    <col min="402" max="402" width="3.44140625" style="75" bestFit="1" customWidth="1"/>
    <col min="403" max="403" width="10.44140625" style="75" bestFit="1" customWidth="1"/>
    <col min="404" max="404" width="3.5546875" style="75" bestFit="1" customWidth="1"/>
    <col min="405" max="405" width="2.21875" style="75" bestFit="1" customWidth="1"/>
    <col min="406" max="409" width="2.33203125" style="75" bestFit="1" customWidth="1"/>
    <col min="410" max="411" width="3" style="75" bestFit="1" customWidth="1"/>
    <col min="412" max="412" width="2.33203125" style="75" bestFit="1" customWidth="1"/>
    <col min="413" max="413" width="19" style="75" bestFit="1" customWidth="1"/>
    <col min="414" max="416" width="2.33203125" style="75" bestFit="1" customWidth="1"/>
    <col min="417" max="418" width="3.5546875" style="75" bestFit="1" customWidth="1"/>
    <col min="419" max="419" width="6" style="75" bestFit="1" customWidth="1"/>
    <col min="420" max="421" width="2.33203125" style="75" bestFit="1" customWidth="1"/>
    <col min="422" max="422" width="6" style="75" bestFit="1" customWidth="1"/>
    <col min="423" max="423" width="3.5546875" style="75" bestFit="1" customWidth="1"/>
    <col min="424" max="425" width="2.33203125" style="75" bestFit="1" customWidth="1"/>
    <col min="426" max="427" width="3.5546875" style="75" bestFit="1" customWidth="1"/>
    <col min="428" max="428" width="2.33203125" style="75" bestFit="1" customWidth="1"/>
    <col min="429" max="429" width="2.77734375" style="75" customWidth="1"/>
    <col min="430" max="430" width="2.33203125" style="75" bestFit="1" customWidth="1"/>
    <col min="431" max="431" width="13.5546875" style="75" bestFit="1" customWidth="1"/>
    <col min="432" max="432" width="2.33203125" style="75" bestFit="1" customWidth="1"/>
    <col min="433" max="433" width="9" style="75" bestFit="1" customWidth="1"/>
    <col min="434" max="434" width="8.88671875" style="75" bestFit="1" customWidth="1"/>
    <col min="435" max="437" width="2.77734375" style="75" customWidth="1"/>
    <col min="438" max="438" width="9" style="75" bestFit="1" customWidth="1"/>
    <col min="439" max="441" width="2.33203125" style="75" bestFit="1" customWidth="1"/>
    <col min="442" max="443" width="3.5546875" style="75" bestFit="1" customWidth="1"/>
    <col min="444" max="444" width="6" style="75" bestFit="1" customWidth="1"/>
    <col min="445" max="446" width="2.33203125" style="75" bestFit="1" customWidth="1"/>
    <col min="447" max="447" width="6" style="75" bestFit="1" customWidth="1"/>
    <col min="448" max="448" width="3.5546875" style="75" bestFit="1" customWidth="1"/>
    <col min="449" max="449" width="2.33203125" style="75" bestFit="1" customWidth="1"/>
    <col min="450" max="450" width="3.5546875" style="75" bestFit="1" customWidth="1"/>
    <col min="451" max="460" width="2.33203125" style="75" bestFit="1" customWidth="1"/>
    <col min="461" max="461" width="9" style="75" bestFit="1" customWidth="1"/>
    <col min="462" max="462" width="8.88671875" style="75" bestFit="1" customWidth="1"/>
    <col min="463" max="465" width="2.33203125" style="75" bestFit="1" customWidth="1"/>
    <col min="466" max="467" width="3.5546875" style="75" bestFit="1" customWidth="1"/>
    <col min="468" max="468" width="6" style="75" bestFit="1" customWidth="1"/>
    <col min="469" max="470" width="2.33203125" style="75" bestFit="1" customWidth="1"/>
    <col min="471" max="471" width="6" style="75" bestFit="1" customWidth="1"/>
    <col min="472" max="472" width="3.44140625" style="75" bestFit="1" customWidth="1"/>
    <col min="473" max="473" width="2.21875" style="75" bestFit="1" customWidth="1"/>
    <col min="474" max="474" width="3.44140625" style="75" bestFit="1" customWidth="1"/>
    <col min="475" max="477" width="2.33203125" style="75" bestFit="1" customWidth="1"/>
    <col min="478" max="478" width="2.21875" style="75" bestFit="1" customWidth="1"/>
    <col min="479" max="483" width="2.33203125" style="75" bestFit="1" customWidth="1"/>
    <col min="484" max="484" width="2.21875" style="75" bestFit="1" customWidth="1"/>
    <col min="485" max="485" width="8.88671875" style="75" bestFit="1" customWidth="1"/>
    <col min="486" max="486" width="2.77734375" style="75" customWidth="1"/>
    <col min="487" max="491" width="2.33203125" style="75" bestFit="1" customWidth="1"/>
    <col min="492" max="492" width="6" style="75" bestFit="1" customWidth="1"/>
    <col min="493" max="494" width="2.33203125" style="75" bestFit="1" customWidth="1"/>
    <col min="495" max="495" width="6" style="75" bestFit="1" customWidth="1"/>
    <col min="496" max="498" width="2.77734375" style="75" customWidth="1"/>
    <col min="499" max="501" width="2.33203125" style="75" bestFit="1" customWidth="1"/>
    <col min="502" max="502" width="2.77734375" style="75" customWidth="1"/>
    <col min="503" max="507" width="2.33203125" style="75" bestFit="1" customWidth="1"/>
    <col min="508" max="509" width="2.77734375" style="75" customWidth="1"/>
    <col min="510" max="515" width="2.33203125" style="75" bestFit="1" customWidth="1"/>
    <col min="516" max="516" width="6" style="75" bestFit="1" customWidth="1"/>
    <col min="517" max="518" width="2.33203125" style="75" bestFit="1" customWidth="1"/>
    <col min="519" max="519" width="6" style="75" bestFit="1" customWidth="1"/>
    <col min="520" max="522" width="2.77734375" style="75" customWidth="1"/>
    <col min="523" max="525" width="2.33203125" style="75" bestFit="1" customWidth="1"/>
    <col min="526" max="526" width="2.77734375" style="75" customWidth="1"/>
    <col min="527" max="531" width="2.33203125" style="75" bestFit="1" customWidth="1"/>
    <col min="532" max="533" width="2.77734375" style="75" customWidth="1"/>
    <col min="534" max="534" width="13.5546875" style="75" bestFit="1" customWidth="1"/>
    <col min="535" max="535" width="2.33203125" style="75" bestFit="1" customWidth="1"/>
    <col min="536" max="536" width="3.5546875" style="75" bestFit="1" customWidth="1"/>
    <col min="537" max="537" width="13.5546875" style="75" bestFit="1" customWidth="1"/>
    <col min="538" max="538" width="3.5546875" style="75" bestFit="1" customWidth="1"/>
    <col min="539" max="539" width="3.44140625" style="75" bestFit="1" customWidth="1"/>
    <col min="540" max="540" width="10.44140625" style="75" bestFit="1" customWidth="1"/>
    <col min="541" max="541" width="3.5546875" style="75" bestFit="1" customWidth="1"/>
    <col min="542" max="542" width="2.21875" style="75" bestFit="1" customWidth="1"/>
    <col min="543" max="546" width="2.33203125" style="75" bestFit="1" customWidth="1"/>
    <col min="547" max="548" width="3" style="75" bestFit="1" customWidth="1"/>
    <col min="549" max="549" width="2.33203125" style="75" bestFit="1" customWidth="1"/>
    <col min="550" max="550" width="19" style="75" bestFit="1" customWidth="1"/>
    <col min="551" max="555" width="2.33203125" style="75" bestFit="1" customWidth="1"/>
    <col min="556" max="556" width="6" style="75" bestFit="1" customWidth="1"/>
    <col min="557" max="558" width="2.33203125" style="75" bestFit="1" customWidth="1"/>
    <col min="559" max="559" width="6" style="75" bestFit="1" customWidth="1"/>
    <col min="560" max="563" width="2.33203125" style="75" bestFit="1" customWidth="1"/>
    <col min="564" max="564" width="3.5546875" style="75" bestFit="1" customWidth="1"/>
    <col min="565" max="565" width="2.33203125" style="75" bestFit="1" customWidth="1"/>
    <col min="566" max="566" width="9.109375" style="75"/>
    <col min="567" max="567" width="2.33203125" style="75" bestFit="1" customWidth="1"/>
    <col min="568" max="568" width="13.5546875" style="75" bestFit="1" customWidth="1"/>
    <col min="569" max="569" width="2.33203125" style="75" bestFit="1" customWidth="1"/>
    <col min="570" max="570" width="13.5546875" style="75" bestFit="1" customWidth="1"/>
    <col min="571" max="574" width="9.109375" style="75"/>
    <col min="575" max="575" width="13.5546875" style="75" bestFit="1" customWidth="1"/>
    <col min="576" max="580" width="2.33203125" style="75" bestFit="1" customWidth="1"/>
    <col min="581" max="581" width="6" style="75" bestFit="1" customWidth="1"/>
    <col min="582" max="583" width="2.33203125" style="75" bestFit="1" customWidth="1"/>
    <col min="584" max="584" width="6" style="75" bestFit="1" customWidth="1"/>
    <col min="585" max="586" width="2.33203125" style="75" bestFit="1" customWidth="1"/>
    <col min="587" max="587" width="3.5546875" style="75" bestFit="1" customWidth="1"/>
    <col min="588" max="597" width="2.33203125" style="75" bestFit="1" customWidth="1"/>
    <col min="598" max="598" width="13.5546875" style="75" bestFit="1" customWidth="1"/>
    <col min="599" max="599" width="9.109375" style="75"/>
    <col min="600" max="604" width="2.33203125" style="75" bestFit="1" customWidth="1"/>
    <col min="605" max="605" width="6" style="75" bestFit="1" customWidth="1"/>
    <col min="606" max="607" width="2.33203125" style="75" bestFit="1" customWidth="1"/>
    <col min="608" max="608" width="6" style="75" bestFit="1" customWidth="1"/>
    <col min="609" max="611" width="9.109375" style="75"/>
    <col min="612" max="614" width="2.33203125" style="75" bestFit="1" customWidth="1"/>
    <col min="615" max="615" width="9.109375" style="75"/>
    <col min="616" max="620" width="2.33203125" style="75" bestFit="1" customWidth="1"/>
    <col min="621" max="623" width="9.109375" style="75"/>
    <col min="624" max="628" width="2.33203125" style="75" bestFit="1" customWidth="1"/>
    <col min="629" max="629" width="6" style="75" bestFit="1" customWidth="1"/>
    <col min="630" max="631" width="2.33203125" style="75" bestFit="1" customWidth="1"/>
    <col min="632" max="632" width="6" style="75" bestFit="1" customWidth="1"/>
    <col min="633" max="635" width="9.109375" style="75"/>
    <col min="636" max="638" width="2.33203125" style="75" bestFit="1" customWidth="1"/>
    <col min="639" max="639" width="9.109375" style="75"/>
    <col min="640" max="644" width="2.33203125" style="75" bestFit="1" customWidth="1"/>
    <col min="645" max="646" width="9.109375" style="75"/>
    <col min="647" max="652" width="2.33203125" style="75" bestFit="1" customWidth="1"/>
    <col min="653" max="653" width="6" style="75" bestFit="1" customWidth="1"/>
    <col min="654" max="655" width="2.33203125" style="75" bestFit="1" customWidth="1"/>
    <col min="656" max="656" width="6" style="75" bestFit="1" customWidth="1"/>
    <col min="657" max="659" width="9.109375" style="75"/>
    <col min="660" max="662" width="2.33203125" style="75" bestFit="1" customWidth="1"/>
    <col min="663" max="663" width="9.109375" style="75"/>
    <col min="664" max="668" width="2.33203125" style="75" bestFit="1" customWidth="1"/>
    <col min="669" max="670" width="9.109375" style="75"/>
    <col min="671" max="671" width="13.5546875" style="75" bestFit="1" customWidth="1"/>
    <col min="672" max="672" width="2.33203125" style="75" bestFit="1" customWidth="1"/>
    <col min="673" max="673" width="3.5546875" style="75" bestFit="1" customWidth="1"/>
    <col min="674" max="674" width="13.5546875" style="75" bestFit="1" customWidth="1"/>
    <col min="675" max="675" width="3.5546875" style="75" bestFit="1" customWidth="1"/>
    <col min="676" max="676" width="9.109375" style="75"/>
    <col min="677" max="677" width="10.44140625" style="75" bestFit="1" customWidth="1"/>
    <col min="678" max="678" width="3.5546875" style="75" bestFit="1" customWidth="1"/>
    <col min="679" max="679" width="9.109375" style="75"/>
    <col min="680" max="683" width="2.33203125" style="75" bestFit="1" customWidth="1"/>
    <col min="684" max="685" width="9.109375" style="75"/>
    <col min="686" max="686" width="2.33203125" style="75" bestFit="1" customWidth="1"/>
    <col min="687" max="687" width="19" style="75" bestFit="1" customWidth="1"/>
    <col min="688" max="690" width="2.33203125" style="75" bestFit="1" customWidth="1"/>
    <col min="691" max="692" width="3.5546875" style="75" bestFit="1" customWidth="1"/>
    <col min="693" max="693" width="6" style="75" bestFit="1" customWidth="1"/>
    <col min="694" max="695" width="2.33203125" style="75" bestFit="1" customWidth="1"/>
    <col min="696" max="696" width="6" style="75" bestFit="1" customWidth="1"/>
    <col min="697" max="697" width="3.5546875" style="75" bestFit="1" customWidth="1"/>
    <col min="698" max="699" width="2.33203125" style="75" bestFit="1" customWidth="1"/>
    <col min="700" max="701" width="3.5546875" style="75" bestFit="1" customWidth="1"/>
    <col min="702" max="702" width="2.33203125" style="75" bestFit="1" customWidth="1"/>
    <col min="703" max="703" width="2.77734375" style="75" customWidth="1"/>
    <col min="704" max="704" width="2.33203125" style="75" bestFit="1" customWidth="1"/>
    <col min="705" max="705" width="13.5546875" style="75" bestFit="1" customWidth="1"/>
    <col min="706" max="706" width="2.33203125" style="75" bestFit="1" customWidth="1"/>
    <col min="707" max="707" width="9" style="75" bestFit="1" customWidth="1"/>
    <col min="708" max="708" width="8.88671875" style="75" bestFit="1" customWidth="1"/>
    <col min="709" max="711" width="2.77734375" style="75" customWidth="1"/>
    <col min="712" max="712" width="9" style="75" bestFit="1" customWidth="1"/>
    <col min="713" max="715" width="2.33203125" style="75" bestFit="1" customWidth="1"/>
    <col min="716" max="717" width="3.5546875" style="75" bestFit="1" customWidth="1"/>
    <col min="718" max="718" width="6" style="75" bestFit="1" customWidth="1"/>
    <col min="719" max="720" width="2.33203125" style="75" bestFit="1" customWidth="1"/>
    <col min="721" max="721" width="6" style="75" bestFit="1" customWidth="1"/>
    <col min="722" max="722" width="3.5546875" style="75" bestFit="1" customWidth="1"/>
    <col min="723" max="723" width="2.33203125" style="75" bestFit="1" customWidth="1"/>
    <col min="724" max="724" width="3.5546875" style="75" bestFit="1" customWidth="1"/>
    <col min="725" max="734" width="2.33203125" style="75" bestFit="1" customWidth="1"/>
    <col min="735" max="735" width="9" style="75" bestFit="1" customWidth="1"/>
    <col min="736" max="736" width="8.88671875" style="75" bestFit="1" customWidth="1"/>
    <col min="737" max="739" width="2.33203125" style="75" bestFit="1" customWidth="1"/>
    <col min="740" max="741" width="3.5546875" style="75" bestFit="1" customWidth="1"/>
    <col min="742" max="742" width="6" style="75" bestFit="1" customWidth="1"/>
    <col min="743" max="744" width="2.33203125" style="75" bestFit="1" customWidth="1"/>
    <col min="745" max="745" width="6" style="75" bestFit="1" customWidth="1"/>
    <col min="746" max="746" width="3.44140625" style="75" bestFit="1" customWidth="1"/>
    <col min="747" max="747" width="2.21875" style="75" bestFit="1" customWidth="1"/>
    <col min="748" max="748" width="3.44140625" style="75" bestFit="1" customWidth="1"/>
    <col min="749" max="751" width="2.33203125" style="75" bestFit="1" customWidth="1"/>
    <col min="752" max="752" width="2.21875" style="75" bestFit="1" customWidth="1"/>
    <col min="753" max="757" width="2.33203125" style="75" bestFit="1" customWidth="1"/>
    <col min="758" max="758" width="2.21875" style="75" bestFit="1" customWidth="1"/>
    <col min="759" max="759" width="8.88671875" style="75" bestFit="1" customWidth="1"/>
    <col min="760" max="760" width="2.77734375" style="75" customWidth="1"/>
    <col min="761" max="765" width="2.33203125" style="75" bestFit="1" customWidth="1"/>
    <col min="766" max="766" width="6" style="75" bestFit="1" customWidth="1"/>
    <col min="767" max="768" width="2.33203125" style="75" bestFit="1" customWidth="1"/>
    <col min="769" max="769" width="6" style="75" bestFit="1" customWidth="1"/>
    <col min="770" max="772" width="2.77734375" style="75" customWidth="1"/>
    <col min="773" max="775" width="2.33203125" style="75" bestFit="1" customWidth="1"/>
    <col min="776" max="776" width="2.77734375" style="75" customWidth="1"/>
    <col min="777" max="781" width="2.33203125" style="75" bestFit="1" customWidth="1"/>
    <col min="782" max="783" width="2.77734375" style="75" customWidth="1"/>
    <col min="784" max="789" width="2.33203125" style="75" bestFit="1" customWidth="1"/>
    <col min="790" max="790" width="6" style="75" bestFit="1" customWidth="1"/>
    <col min="791" max="792" width="2.33203125" style="75" bestFit="1" customWidth="1"/>
    <col min="793" max="793" width="6" style="75" bestFit="1" customWidth="1"/>
    <col min="794" max="796" width="2.77734375" style="75" customWidth="1"/>
    <col min="797" max="799" width="2.33203125" style="75" bestFit="1" customWidth="1"/>
    <col min="800" max="800" width="2.77734375" style="75" customWidth="1"/>
    <col min="801" max="805" width="2.33203125" style="75" bestFit="1" customWidth="1"/>
    <col min="806" max="807" width="2.77734375" style="75" customWidth="1"/>
    <col min="808" max="808" width="13.5546875" style="75" bestFit="1" customWidth="1"/>
    <col min="809" max="809" width="2.33203125" style="75" bestFit="1" customWidth="1"/>
    <col min="810" max="810" width="3.5546875" style="75" bestFit="1" customWidth="1"/>
    <col min="811" max="811" width="13.5546875" style="75" bestFit="1" customWidth="1"/>
    <col min="812" max="812" width="3.5546875" style="75" bestFit="1" customWidth="1"/>
    <col min="813" max="813" width="3.44140625" style="75" bestFit="1" customWidth="1"/>
    <col min="814" max="814" width="10.44140625" style="75" bestFit="1" customWidth="1"/>
    <col min="815" max="815" width="3.5546875" style="75" bestFit="1" customWidth="1"/>
    <col min="816" max="816" width="2.21875" style="75" bestFit="1" customWidth="1"/>
    <col min="817" max="820" width="2.33203125" style="75" bestFit="1" customWidth="1"/>
    <col min="821" max="822" width="3" style="75" bestFit="1" customWidth="1"/>
    <col min="823" max="823" width="2.33203125" style="75" bestFit="1" customWidth="1"/>
    <col min="824" max="824" width="19" style="75" bestFit="1" customWidth="1"/>
    <col min="825" max="829" width="2.33203125" style="75" bestFit="1" customWidth="1"/>
    <col min="830" max="830" width="6" style="75" bestFit="1" customWidth="1"/>
    <col min="831" max="832" width="2.33203125" style="75" bestFit="1" customWidth="1"/>
    <col min="833" max="833" width="6" style="75" bestFit="1" customWidth="1"/>
    <col min="834" max="837" width="2.33203125" style="75" bestFit="1" customWidth="1"/>
    <col min="838" max="838" width="3.5546875" style="75" bestFit="1" customWidth="1"/>
    <col min="839" max="839" width="2.33203125" style="75" bestFit="1" customWidth="1"/>
    <col min="840" max="840" width="9.109375" style="75"/>
    <col min="841" max="841" width="2.33203125" style="75" bestFit="1" customWidth="1"/>
    <col min="842" max="842" width="13.5546875" style="75" bestFit="1" customWidth="1"/>
    <col min="843" max="843" width="2.33203125" style="75" bestFit="1" customWidth="1"/>
    <col min="844" max="844" width="13.5546875" style="75" bestFit="1" customWidth="1"/>
    <col min="845" max="848" width="9.109375" style="75"/>
    <col min="849" max="849" width="13.5546875" style="75" bestFit="1" customWidth="1"/>
    <col min="850" max="854" width="2.33203125" style="75" bestFit="1" customWidth="1"/>
    <col min="855" max="855" width="6" style="75" bestFit="1" customWidth="1"/>
    <col min="856" max="857" width="2.33203125" style="75" bestFit="1" customWidth="1"/>
    <col min="858" max="858" width="6" style="75" bestFit="1" customWidth="1"/>
    <col min="859" max="860" width="2.33203125" style="75" bestFit="1" customWidth="1"/>
    <col min="861" max="861" width="3.5546875" style="75" bestFit="1" customWidth="1"/>
    <col min="862" max="871" width="2.33203125" style="75" bestFit="1" customWidth="1"/>
    <col min="872" max="872" width="13.5546875" style="75" bestFit="1" customWidth="1"/>
    <col min="873" max="873" width="9.109375" style="75"/>
    <col min="874" max="878" width="2.33203125" style="75" bestFit="1" customWidth="1"/>
    <col min="879" max="879" width="6" style="75" bestFit="1" customWidth="1"/>
    <col min="880" max="881" width="2.33203125" style="75" bestFit="1" customWidth="1"/>
    <col min="882" max="882" width="6" style="75" bestFit="1" customWidth="1"/>
    <col min="883" max="885" width="9.109375" style="75"/>
    <col min="886" max="888" width="2.33203125" style="75" bestFit="1" customWidth="1"/>
    <col min="889" max="889" width="9.109375" style="75"/>
    <col min="890" max="894" width="2.33203125" style="75" bestFit="1" customWidth="1"/>
    <col min="895" max="897" width="9.109375" style="75"/>
    <col min="898" max="902" width="2.33203125" style="75" bestFit="1" customWidth="1"/>
    <col min="903" max="903" width="6" style="75" bestFit="1" customWidth="1"/>
    <col min="904" max="905" width="2.33203125" style="75" bestFit="1" customWidth="1"/>
    <col min="906" max="906" width="6" style="75" bestFit="1" customWidth="1"/>
    <col min="907" max="909" width="9.109375" style="75"/>
    <col min="910" max="912" width="2.33203125" style="75" bestFit="1" customWidth="1"/>
    <col min="913" max="913" width="9.109375" style="75"/>
    <col min="914" max="918" width="2.33203125" style="75" bestFit="1" customWidth="1"/>
    <col min="919" max="920" width="9.109375" style="75"/>
    <col min="921" max="926" width="2.33203125" style="75" bestFit="1" customWidth="1"/>
    <col min="927" max="927" width="6" style="75" bestFit="1" customWidth="1"/>
    <col min="928" max="929" width="2.33203125" style="75" bestFit="1" customWidth="1"/>
    <col min="930" max="930" width="6" style="75" bestFit="1" customWidth="1"/>
    <col min="931" max="933" width="9.109375" style="75"/>
    <col min="934" max="936" width="2.33203125" style="75" bestFit="1" customWidth="1"/>
    <col min="937" max="937" width="9.109375" style="75"/>
    <col min="938" max="942" width="2.33203125" style="75" bestFit="1" customWidth="1"/>
    <col min="943" max="944" width="9.109375" style="75"/>
    <col min="945" max="945" width="13.5546875" style="75" bestFit="1" customWidth="1"/>
    <col min="946" max="946" width="2.33203125" style="75" bestFit="1" customWidth="1"/>
    <col min="947" max="947" width="3.5546875" style="75" bestFit="1" customWidth="1"/>
    <col min="948" max="948" width="13.5546875" style="75" bestFit="1" customWidth="1"/>
    <col min="949" max="949" width="3.5546875" style="75" bestFit="1" customWidth="1"/>
    <col min="950" max="950" width="9.109375" style="75"/>
    <col min="951" max="951" width="10.44140625" style="75" bestFit="1" customWidth="1"/>
    <col min="952" max="952" width="3.5546875" style="75" bestFit="1" customWidth="1"/>
    <col min="953" max="953" width="9.109375" style="75"/>
    <col min="954" max="957" width="2.33203125" style="75" bestFit="1" customWidth="1"/>
    <col min="958" max="959" width="9.109375" style="75"/>
    <col min="960" max="960" width="2.33203125" style="75" bestFit="1" customWidth="1"/>
    <col min="961" max="961" width="19" style="75" bestFit="1" customWidth="1"/>
    <col min="962" max="964" width="2.33203125" style="75" bestFit="1" customWidth="1"/>
    <col min="965" max="966" width="3.5546875" style="75" bestFit="1" customWidth="1"/>
    <col min="967" max="967" width="6" style="75" bestFit="1" customWidth="1"/>
    <col min="968" max="969" width="2.33203125" style="75" bestFit="1" customWidth="1"/>
    <col min="970" max="970" width="6" style="75" bestFit="1" customWidth="1"/>
    <col min="971" max="971" width="3.5546875" style="75" bestFit="1" customWidth="1"/>
    <col min="972" max="973" width="2.33203125" style="75" bestFit="1" customWidth="1"/>
    <col min="974" max="975" width="3.5546875" style="75" bestFit="1" customWidth="1"/>
    <col min="976" max="976" width="2.33203125" style="75" bestFit="1" customWidth="1"/>
    <col min="977" max="977" width="2.77734375" style="75" customWidth="1"/>
    <col min="978" max="978" width="2.33203125" style="75" bestFit="1" customWidth="1"/>
    <col min="979" max="979" width="13.5546875" style="75" bestFit="1" customWidth="1"/>
    <col min="980" max="980" width="2.33203125" style="75" bestFit="1" customWidth="1"/>
    <col min="981" max="981" width="9" style="75" bestFit="1" customWidth="1"/>
    <col min="982" max="982" width="8.88671875" style="75" bestFit="1" customWidth="1"/>
    <col min="983" max="985" width="2.77734375" style="75" customWidth="1"/>
    <col min="986" max="986" width="9" style="75" bestFit="1" customWidth="1"/>
    <col min="987" max="989" width="2.33203125" style="75" bestFit="1" customWidth="1"/>
    <col min="990" max="991" width="3.5546875" style="75" bestFit="1" customWidth="1"/>
    <col min="992" max="992" width="6" style="75" bestFit="1" customWidth="1"/>
    <col min="993" max="994" width="2.33203125" style="75" bestFit="1" customWidth="1"/>
    <col min="995" max="995" width="6" style="75" bestFit="1" customWidth="1"/>
    <col min="996" max="996" width="3.5546875" style="75" bestFit="1" customWidth="1"/>
    <col min="997" max="997" width="2.33203125" style="75" bestFit="1" customWidth="1"/>
    <col min="998" max="998" width="3.5546875" style="75" bestFit="1" customWidth="1"/>
    <col min="999" max="1008" width="2.33203125" style="75" bestFit="1" customWidth="1"/>
    <col min="1009" max="1009" width="9" style="75" bestFit="1" customWidth="1"/>
    <col min="1010" max="1010" width="8.88671875" style="75" bestFit="1" customWidth="1"/>
    <col min="1011" max="1013" width="2.33203125" style="75" bestFit="1" customWidth="1"/>
    <col min="1014" max="1015" width="3.5546875" style="75" bestFit="1" customWidth="1"/>
    <col min="1016" max="1016" width="6" style="75" bestFit="1" customWidth="1"/>
    <col min="1017" max="1018" width="2.33203125" style="75" bestFit="1" customWidth="1"/>
    <col min="1019" max="1019" width="6" style="75" bestFit="1" customWidth="1"/>
    <col min="1020" max="1020" width="3.44140625" style="75" bestFit="1" customWidth="1"/>
    <col min="1021" max="1021" width="2.21875" style="75" bestFit="1" customWidth="1"/>
    <col min="1022" max="1022" width="3.44140625" style="75" bestFit="1" customWidth="1"/>
    <col min="1023" max="1025" width="2.33203125" style="75" bestFit="1" customWidth="1"/>
    <col min="1026" max="1026" width="2.21875" style="75" bestFit="1" customWidth="1"/>
    <col min="1027" max="1031" width="2.33203125" style="75" bestFit="1" customWidth="1"/>
    <col min="1032" max="1032" width="2.21875" style="75" bestFit="1" customWidth="1"/>
    <col min="1033" max="1033" width="8.88671875" style="75" bestFit="1" customWidth="1"/>
    <col min="1034" max="1034" width="2.77734375" style="75" customWidth="1"/>
    <col min="1035" max="1039" width="2.33203125" style="75" bestFit="1" customWidth="1"/>
    <col min="1040" max="1040" width="6" style="75" bestFit="1" customWidth="1"/>
    <col min="1041" max="1042" width="2.33203125" style="75" bestFit="1" customWidth="1"/>
    <col min="1043" max="1043" width="6" style="75" bestFit="1" customWidth="1"/>
    <col min="1044" max="1046" width="2.77734375" style="75" customWidth="1"/>
    <col min="1047" max="1049" width="2.33203125" style="75" bestFit="1" customWidth="1"/>
    <col min="1050" max="1050" width="2.77734375" style="75" customWidth="1"/>
    <col min="1051" max="1055" width="2.33203125" style="75" bestFit="1" customWidth="1"/>
    <col min="1056" max="1057" width="2.77734375" style="75" customWidth="1"/>
    <col min="1058" max="1063" width="2.33203125" style="75" bestFit="1" customWidth="1"/>
    <col min="1064" max="1064" width="6" style="75" bestFit="1" customWidth="1"/>
    <col min="1065" max="1066" width="2.33203125" style="75" bestFit="1" customWidth="1"/>
    <col min="1067" max="1067" width="6" style="75" bestFit="1" customWidth="1"/>
    <col min="1068" max="1070" width="2.77734375" style="75" customWidth="1"/>
    <col min="1071" max="1073" width="2.33203125" style="75" bestFit="1" customWidth="1"/>
    <col min="1074" max="1074" width="2.77734375" style="75" customWidth="1"/>
    <col min="1075" max="1079" width="2.33203125" style="75" bestFit="1" customWidth="1"/>
    <col min="1080" max="1081" width="2.77734375" style="75" customWidth="1"/>
    <col min="1082" max="1082" width="13.5546875" style="75" bestFit="1" customWidth="1"/>
    <col min="1083" max="1083" width="2.33203125" style="75" bestFit="1" customWidth="1"/>
    <col min="1084" max="1084" width="3.5546875" style="75" bestFit="1" customWidth="1"/>
    <col min="1085" max="1085" width="13.5546875" style="75" bestFit="1" customWidth="1"/>
    <col min="1086" max="1086" width="3.5546875" style="75" bestFit="1" customWidth="1"/>
    <col min="1087" max="1087" width="3.44140625" style="75" bestFit="1" customWidth="1"/>
    <col min="1088" max="1088" width="10.44140625" style="75" bestFit="1" customWidth="1"/>
    <col min="1089" max="1089" width="3.5546875" style="75" bestFit="1" customWidth="1"/>
    <col min="1090" max="1090" width="2.21875" style="75" bestFit="1" customWidth="1"/>
    <col min="1091" max="1094" width="2.33203125" style="75" bestFit="1" customWidth="1"/>
    <col min="1095" max="1096" width="3" style="75" bestFit="1" customWidth="1"/>
    <col min="1097" max="1097" width="2.33203125" style="75" bestFit="1" customWidth="1"/>
    <col min="1098" max="1098" width="19" style="75" bestFit="1" customWidth="1"/>
    <col min="1099" max="1103" width="2.33203125" style="75" bestFit="1" customWidth="1"/>
    <col min="1104" max="1104" width="6" style="75" bestFit="1" customWidth="1"/>
    <col min="1105" max="1106" width="2.33203125" style="75" bestFit="1" customWidth="1"/>
    <col min="1107" max="1107" width="6" style="75" bestFit="1" customWidth="1"/>
    <col min="1108" max="1111" width="2.33203125" style="75" bestFit="1" customWidth="1"/>
    <col min="1112" max="1112" width="3.5546875" style="75" bestFit="1" customWidth="1"/>
    <col min="1113" max="1113" width="2.33203125" style="75" bestFit="1" customWidth="1"/>
    <col min="1114" max="1114" width="9.109375" style="75"/>
    <col min="1115" max="1115" width="2.33203125" style="75" bestFit="1" customWidth="1"/>
    <col min="1116" max="1116" width="13.5546875" style="75" bestFit="1" customWidth="1"/>
    <col min="1117" max="1117" width="2.33203125" style="75" bestFit="1" customWidth="1"/>
    <col min="1118" max="1118" width="13.5546875" style="75" bestFit="1" customWidth="1"/>
    <col min="1119" max="1122" width="9.109375" style="75"/>
    <col min="1123" max="1123" width="13.5546875" style="75" bestFit="1" customWidth="1"/>
    <col min="1124" max="1128" width="2.33203125" style="75" bestFit="1" customWidth="1"/>
    <col min="1129" max="1129" width="6" style="75" bestFit="1" customWidth="1"/>
    <col min="1130" max="1131" width="2.33203125" style="75" bestFit="1" customWidth="1"/>
    <col min="1132" max="1132" width="6" style="75" bestFit="1" customWidth="1"/>
    <col min="1133" max="1134" width="2.33203125" style="75" bestFit="1" customWidth="1"/>
    <col min="1135" max="1135" width="3.5546875" style="75" bestFit="1" customWidth="1"/>
    <col min="1136" max="1145" width="2.33203125" style="75" bestFit="1" customWidth="1"/>
    <col min="1146" max="1146" width="13.5546875" style="75" bestFit="1" customWidth="1"/>
    <col min="1147" max="1147" width="9.109375" style="75"/>
    <col min="1148" max="1152" width="2.33203125" style="75" bestFit="1" customWidth="1"/>
    <col min="1153" max="1153" width="6" style="75" bestFit="1" customWidth="1"/>
    <col min="1154" max="1155" width="2.33203125" style="75" bestFit="1" customWidth="1"/>
    <col min="1156" max="1156" width="6" style="75" bestFit="1" customWidth="1"/>
    <col min="1157" max="1159" width="9.109375" style="75"/>
    <col min="1160" max="1162" width="2.33203125" style="75" bestFit="1" customWidth="1"/>
    <col min="1163" max="1163" width="9.109375" style="75"/>
    <col min="1164" max="1168" width="2.33203125" style="75" bestFit="1" customWidth="1"/>
    <col min="1169" max="1171" width="9.109375" style="75"/>
    <col min="1172" max="1176" width="2.33203125" style="75" bestFit="1" customWidth="1"/>
    <col min="1177" max="1177" width="6" style="75" bestFit="1" customWidth="1"/>
    <col min="1178" max="1179" width="2.33203125" style="75" bestFit="1" customWidth="1"/>
    <col min="1180" max="1180" width="6" style="75" bestFit="1" customWidth="1"/>
    <col min="1181" max="1183" width="9.109375" style="75"/>
    <col min="1184" max="1186" width="2.33203125" style="75" bestFit="1" customWidth="1"/>
    <col min="1187" max="1187" width="9.109375" style="75"/>
    <col min="1188" max="1192" width="2.33203125" style="75" bestFit="1" customWidth="1"/>
    <col min="1193" max="1194" width="9.109375" style="75"/>
    <col min="1195" max="1200" width="2.33203125" style="75" bestFit="1" customWidth="1"/>
    <col min="1201" max="1201" width="6" style="75" bestFit="1" customWidth="1"/>
    <col min="1202" max="1203" width="2.33203125" style="75" bestFit="1" customWidth="1"/>
    <col min="1204" max="1204" width="6" style="75" bestFit="1" customWidth="1"/>
    <col min="1205" max="1207" width="9.109375" style="75"/>
    <col min="1208" max="1210" width="2.33203125" style="75" bestFit="1" customWidth="1"/>
    <col min="1211" max="1211" width="9.109375" style="75"/>
    <col min="1212" max="1216" width="2.33203125" style="75" bestFit="1" customWidth="1"/>
    <col min="1217" max="1218" width="9.109375" style="75"/>
    <col min="1219" max="1219" width="13.5546875" style="75" bestFit="1" customWidth="1"/>
    <col min="1220" max="1220" width="2.33203125" style="75" bestFit="1" customWidth="1"/>
    <col min="1221" max="1221" width="3.5546875" style="75" bestFit="1" customWidth="1"/>
    <col min="1222" max="1222" width="13.5546875" style="75" bestFit="1" customWidth="1"/>
    <col min="1223" max="1223" width="3.5546875" style="75" bestFit="1" customWidth="1"/>
    <col min="1224" max="1224" width="9.109375" style="75"/>
    <col min="1225" max="1225" width="10.44140625" style="75" bestFit="1" customWidth="1"/>
    <col min="1226" max="1226" width="3.5546875" style="75" bestFit="1" customWidth="1"/>
    <col min="1227" max="1227" width="9.109375" style="75"/>
    <col min="1228" max="1231" width="2.33203125" style="75" bestFit="1" customWidth="1"/>
    <col min="1232" max="1233" width="9.109375" style="75"/>
    <col min="1234" max="1234" width="3.5546875" style="75" bestFit="1" customWidth="1"/>
    <col min="1235" max="1235" width="19" style="75" bestFit="1" customWidth="1"/>
    <col min="1236" max="1240" width="2.33203125" style="75" bestFit="1" customWidth="1"/>
    <col min="1241" max="1241" width="6" style="75" bestFit="1" customWidth="1"/>
    <col min="1242" max="1243" width="2.33203125" style="75" bestFit="1" customWidth="1"/>
    <col min="1244" max="1244" width="6" style="75" bestFit="1" customWidth="1"/>
    <col min="1245" max="1248" width="2.33203125" style="75" bestFit="1" customWidth="1"/>
    <col min="1249" max="1249" width="3.5546875" style="75" bestFit="1" customWidth="1"/>
    <col min="1250" max="1250" width="2.33203125" style="75" bestFit="1" customWidth="1"/>
    <col min="1251" max="1251" width="2.77734375" style="75" customWidth="1"/>
    <col min="1252" max="1252" width="2.33203125" style="75" bestFit="1" customWidth="1"/>
    <col min="1253" max="1253" width="13.5546875" style="75" bestFit="1" customWidth="1"/>
    <col min="1254" max="1254" width="2.33203125" style="75" bestFit="1" customWidth="1"/>
    <col min="1255" max="1255" width="13.5546875" style="75" bestFit="1" customWidth="1"/>
    <col min="1256" max="1256" width="8.88671875" style="75" bestFit="1" customWidth="1"/>
    <col min="1257" max="1259" width="2.77734375" style="75" customWidth="1"/>
    <col min="1260" max="1260" width="13.5546875" style="75" bestFit="1" customWidth="1"/>
    <col min="1261" max="1265" width="2.33203125" style="75" bestFit="1" customWidth="1"/>
    <col min="1266" max="1266" width="6" style="75" bestFit="1" customWidth="1"/>
    <col min="1267" max="1268" width="2.33203125" style="75" bestFit="1" customWidth="1"/>
    <col min="1269" max="1269" width="6" style="75" bestFit="1" customWidth="1"/>
    <col min="1270" max="1271" width="2.33203125" style="75" bestFit="1" customWidth="1"/>
    <col min="1272" max="1272" width="3.5546875" style="75" bestFit="1" customWidth="1"/>
    <col min="1273" max="1282" width="2.33203125" style="75" bestFit="1" customWidth="1"/>
    <col min="1283" max="1283" width="13.5546875" style="75" bestFit="1" customWidth="1"/>
    <col min="1284" max="1284" width="8.88671875" style="75" bestFit="1" customWidth="1"/>
    <col min="1285" max="1289" width="2.33203125" style="75" bestFit="1" customWidth="1"/>
    <col min="1290" max="1290" width="6" style="75" bestFit="1" customWidth="1"/>
    <col min="1291" max="1292" width="2.33203125" style="75" bestFit="1" customWidth="1"/>
    <col min="1293" max="1293" width="6" style="75" bestFit="1" customWidth="1"/>
    <col min="1294" max="1294" width="3.44140625" style="75" bestFit="1" customWidth="1"/>
    <col min="1295" max="1295" width="2.21875" style="75" bestFit="1" customWidth="1"/>
    <col min="1296" max="1296" width="3.44140625" style="75" bestFit="1" customWidth="1"/>
    <col min="1297" max="1299" width="2.33203125" style="75" bestFit="1" customWidth="1"/>
    <col min="1300" max="1300" width="2.21875" style="75" bestFit="1" customWidth="1"/>
    <col min="1301" max="1305" width="2.33203125" style="75" bestFit="1" customWidth="1"/>
    <col min="1306" max="1306" width="2.21875" style="75" bestFit="1" customWidth="1"/>
    <col min="1307" max="1307" width="8.88671875" style="75" bestFit="1" customWidth="1"/>
    <col min="1308" max="1308" width="2.77734375" style="75" customWidth="1"/>
    <col min="1309" max="1313" width="2.33203125" style="75" bestFit="1" customWidth="1"/>
    <col min="1314" max="1314" width="6" style="75" bestFit="1" customWidth="1"/>
    <col min="1315" max="1316" width="2.33203125" style="75" bestFit="1" customWidth="1"/>
    <col min="1317" max="1317" width="6" style="75" bestFit="1" customWidth="1"/>
    <col min="1318" max="1320" width="2.77734375" style="75" customWidth="1"/>
    <col min="1321" max="1323" width="2.33203125" style="75" bestFit="1" customWidth="1"/>
    <col min="1324" max="1324" width="2.77734375" style="75" customWidth="1"/>
    <col min="1325" max="1329" width="2.33203125" style="75" bestFit="1" customWidth="1"/>
    <col min="1330" max="1331" width="2.77734375" style="75" customWidth="1"/>
    <col min="1332" max="1337" width="2.33203125" style="75" bestFit="1" customWidth="1"/>
    <col min="1338" max="1338" width="6" style="75" bestFit="1" customWidth="1"/>
    <col min="1339" max="1340" width="2.33203125" style="75" bestFit="1" customWidth="1"/>
    <col min="1341" max="1341" width="6" style="75" bestFit="1" customWidth="1"/>
    <col min="1342" max="1344" width="2.77734375" style="75" customWidth="1"/>
    <col min="1345" max="1347" width="2.33203125" style="75" bestFit="1" customWidth="1"/>
    <col min="1348" max="1348" width="2.77734375" style="75" customWidth="1"/>
    <col min="1349" max="1353" width="2.33203125" style="75" bestFit="1" customWidth="1"/>
    <col min="1354" max="1355" width="2.77734375" style="75" customWidth="1"/>
    <col min="1356" max="1356" width="13.5546875" style="75" bestFit="1" customWidth="1"/>
    <col min="1357" max="1357" width="2.33203125" style="75" bestFit="1" customWidth="1"/>
    <col min="1358" max="1358" width="3.5546875" style="75" bestFit="1" customWidth="1"/>
    <col min="1359" max="1359" width="13.5546875" style="75" bestFit="1" customWidth="1"/>
    <col min="1360" max="1360" width="3.5546875" style="75" bestFit="1" customWidth="1"/>
    <col min="1361" max="1361" width="3.44140625" style="75" bestFit="1" customWidth="1"/>
    <col min="1362" max="1362" width="10.44140625" style="75" bestFit="1" customWidth="1"/>
    <col min="1363" max="1363" width="3.5546875" style="75" bestFit="1" customWidth="1"/>
    <col min="1364" max="1364" width="2.21875" style="75" bestFit="1" customWidth="1"/>
    <col min="1365" max="1368" width="2.33203125" style="75" bestFit="1" customWidth="1"/>
    <col min="1369" max="1370" width="3" style="75" bestFit="1" customWidth="1"/>
    <col min="1371" max="1371" width="3.5546875" style="75" bestFit="1" customWidth="1"/>
    <col min="1372" max="1372" width="19" style="75" bestFit="1" customWidth="1"/>
    <col min="1373" max="1377" width="2.33203125" style="75" bestFit="1" customWidth="1"/>
    <col min="1378" max="1378" width="6" style="75" bestFit="1" customWidth="1"/>
    <col min="1379" max="1380" width="2.33203125" style="75" bestFit="1" customWidth="1"/>
    <col min="1381" max="1381" width="6" style="75" bestFit="1" customWidth="1"/>
    <col min="1382" max="1385" width="2.33203125" style="75" bestFit="1" customWidth="1"/>
    <col min="1386" max="1386" width="3.5546875" style="75" bestFit="1" customWidth="1"/>
    <col min="1387" max="1387" width="2.33203125" style="75" bestFit="1" customWidth="1"/>
    <col min="1388" max="1388" width="9.109375" style="75"/>
    <col min="1389" max="1389" width="2.33203125" style="75" bestFit="1" customWidth="1"/>
    <col min="1390" max="1390" width="13.5546875" style="75" bestFit="1" customWidth="1"/>
    <col min="1391" max="1391" width="2.33203125" style="75" bestFit="1" customWidth="1"/>
    <col min="1392" max="1392" width="13.5546875" style="75" bestFit="1" customWidth="1"/>
    <col min="1393" max="1396" width="9.109375" style="75"/>
    <col min="1397" max="1397" width="13.5546875" style="75" bestFit="1" customWidth="1"/>
    <col min="1398" max="1402" width="2.33203125" style="75" bestFit="1" customWidth="1"/>
    <col min="1403" max="1403" width="6" style="75" bestFit="1" customWidth="1"/>
    <col min="1404" max="1405" width="2.33203125" style="75" bestFit="1" customWidth="1"/>
    <col min="1406" max="1406" width="6" style="75" bestFit="1" customWidth="1"/>
    <col min="1407" max="1408" width="2.33203125" style="75" bestFit="1" customWidth="1"/>
    <col min="1409" max="1409" width="3.5546875" style="75" bestFit="1" customWidth="1"/>
    <col min="1410" max="1419" width="2.33203125" style="75" bestFit="1" customWidth="1"/>
    <col min="1420" max="1420" width="13.5546875" style="75" bestFit="1" customWidth="1"/>
    <col min="1421" max="1421" width="9.109375" style="75"/>
    <col min="1422" max="1426" width="2.33203125" style="75" bestFit="1" customWidth="1"/>
    <col min="1427" max="1427" width="6" style="75" bestFit="1" customWidth="1"/>
    <col min="1428" max="1429" width="2.33203125" style="75" bestFit="1" customWidth="1"/>
    <col min="1430" max="1430" width="6" style="75" bestFit="1" customWidth="1"/>
    <col min="1431" max="1433" width="9.109375" style="75"/>
    <col min="1434" max="1436" width="2.33203125" style="75" bestFit="1" customWidth="1"/>
    <col min="1437" max="1437" width="9.109375" style="75"/>
    <col min="1438" max="1442" width="2.33203125" style="75" bestFit="1" customWidth="1"/>
    <col min="1443" max="1445" width="9.109375" style="75"/>
    <col min="1446" max="1450" width="2.33203125" style="75" bestFit="1" customWidth="1"/>
    <col min="1451" max="1451" width="6" style="75" bestFit="1" customWidth="1"/>
    <col min="1452" max="1453" width="2.33203125" style="75" bestFit="1" customWidth="1"/>
    <col min="1454" max="1454" width="6" style="75" bestFit="1" customWidth="1"/>
    <col min="1455" max="1457" width="9.109375" style="75"/>
    <col min="1458" max="1460" width="2.33203125" style="75" bestFit="1" customWidth="1"/>
    <col min="1461" max="1461" width="9.109375" style="75"/>
    <col min="1462" max="1466" width="2.33203125" style="75" bestFit="1" customWidth="1"/>
    <col min="1467" max="1468" width="9.109375" style="75"/>
    <col min="1469" max="1474" width="2.33203125" style="75" bestFit="1" customWidth="1"/>
    <col min="1475" max="1475" width="6" style="75" bestFit="1" customWidth="1"/>
    <col min="1476" max="1477" width="2.33203125" style="75" bestFit="1" customWidth="1"/>
    <col min="1478" max="1478" width="6" style="75" bestFit="1" customWidth="1"/>
    <col min="1479" max="1481" width="9.109375" style="75"/>
    <col min="1482" max="1484" width="2.33203125" style="75" bestFit="1" customWidth="1"/>
    <col min="1485" max="1485" width="9.109375" style="75"/>
    <col min="1486" max="1490" width="2.33203125" style="75" bestFit="1" customWidth="1"/>
    <col min="1491" max="1492" width="9.109375" style="75"/>
    <col min="1493" max="1493" width="13.5546875" style="75" bestFit="1" customWidth="1"/>
    <col min="1494" max="1494" width="2.33203125" style="75" bestFit="1" customWidth="1"/>
    <col min="1495" max="1495" width="3.5546875" style="75" bestFit="1" customWidth="1"/>
    <col min="1496" max="1496" width="13.5546875" style="75" bestFit="1" customWidth="1"/>
    <col min="1497" max="1497" width="4.77734375" style="75" bestFit="1" customWidth="1"/>
    <col min="1498" max="1498" width="9.109375" style="75"/>
    <col min="1499" max="1499" width="10.44140625" style="75" bestFit="1" customWidth="1"/>
    <col min="1500" max="1500" width="4.77734375" style="75" bestFit="1" customWidth="1"/>
    <col min="1501" max="1501" width="9.109375" style="75"/>
    <col min="1502" max="1505" width="2.33203125" style="75" bestFit="1" customWidth="1"/>
    <col min="1506" max="1507" width="9.109375" style="75"/>
    <col min="1508" max="1508" width="3.5546875" style="75" bestFit="1" customWidth="1"/>
    <col min="1509" max="1509" width="19" style="75" bestFit="1" customWidth="1"/>
    <col min="1510" max="1514" width="2.33203125" style="75" bestFit="1" customWidth="1"/>
    <col min="1515" max="1515" width="6" style="75" bestFit="1" customWidth="1"/>
    <col min="1516" max="1517" width="2.33203125" style="75" bestFit="1" customWidth="1"/>
    <col min="1518" max="1518" width="6" style="75" bestFit="1" customWidth="1"/>
    <col min="1519" max="1522" width="2.33203125" style="75" bestFit="1" customWidth="1"/>
    <col min="1523" max="1523" width="3.5546875" style="75" bestFit="1" customWidth="1"/>
    <col min="1524" max="1524" width="2.33203125" style="75" bestFit="1" customWidth="1"/>
    <col min="1525" max="1525" width="2.77734375" style="75" customWidth="1"/>
    <col min="1526" max="1526" width="2.33203125" style="75" bestFit="1" customWidth="1"/>
    <col min="1527" max="1527" width="13.5546875" style="75" bestFit="1" customWidth="1"/>
    <col min="1528" max="1528" width="2.33203125" style="75" bestFit="1" customWidth="1"/>
    <col min="1529" max="1529" width="13.5546875" style="75" bestFit="1" customWidth="1"/>
    <col min="1530" max="1530" width="8.88671875" style="75" bestFit="1" customWidth="1"/>
    <col min="1531" max="1533" width="2.77734375" style="75" customWidth="1"/>
    <col min="1534" max="1534" width="13.5546875" style="75" bestFit="1" customWidth="1"/>
    <col min="1535" max="1539" width="2.33203125" style="75" bestFit="1" customWidth="1"/>
    <col min="1540" max="1540" width="6" style="75" bestFit="1" customWidth="1"/>
    <col min="1541" max="1542" width="2.33203125" style="75" bestFit="1" customWidth="1"/>
    <col min="1543" max="1543" width="6" style="75" bestFit="1" customWidth="1"/>
    <col min="1544" max="1545" width="2.33203125" style="75" bestFit="1" customWidth="1"/>
    <col min="1546" max="1546" width="3.5546875" style="75" bestFit="1" customWidth="1"/>
    <col min="1547" max="1556" width="2.33203125" style="75" bestFit="1" customWidth="1"/>
    <col min="1557" max="1557" width="13.5546875" style="75" bestFit="1" customWidth="1"/>
    <col min="1558" max="1558" width="8.88671875" style="75" bestFit="1" customWidth="1"/>
    <col min="1559" max="1563" width="2.33203125" style="75" bestFit="1" customWidth="1"/>
    <col min="1564" max="1564" width="6" style="75" bestFit="1" customWidth="1"/>
    <col min="1565" max="1566" width="2.33203125" style="75" bestFit="1" customWidth="1"/>
    <col min="1567" max="1567" width="6" style="75" bestFit="1" customWidth="1"/>
    <col min="1568" max="1568" width="3.44140625" style="75" bestFit="1" customWidth="1"/>
    <col min="1569" max="1569" width="2.21875" style="75" bestFit="1" customWidth="1"/>
    <col min="1570" max="1570" width="3.44140625" style="75" bestFit="1" customWidth="1"/>
    <col min="1571" max="1573" width="2.33203125" style="75" bestFit="1" customWidth="1"/>
    <col min="1574" max="1574" width="2.21875" style="75" bestFit="1" customWidth="1"/>
    <col min="1575" max="1579" width="2.33203125" style="75" bestFit="1" customWidth="1"/>
    <col min="1580" max="1580" width="2.21875" style="75" bestFit="1" customWidth="1"/>
    <col min="1581" max="1581" width="8.88671875" style="75" bestFit="1" customWidth="1"/>
    <col min="1582" max="1582" width="2.77734375" style="75" customWidth="1"/>
    <col min="1583" max="1587" width="2.33203125" style="75" bestFit="1" customWidth="1"/>
    <col min="1588" max="1588" width="6" style="75" bestFit="1" customWidth="1"/>
    <col min="1589" max="1590" width="2.33203125" style="75" bestFit="1" customWidth="1"/>
    <col min="1591" max="1591" width="6" style="75" bestFit="1" customWidth="1"/>
    <col min="1592" max="1594" width="2.77734375" style="75" customWidth="1"/>
    <col min="1595" max="1597" width="2.33203125" style="75" bestFit="1" customWidth="1"/>
    <col min="1598" max="1598" width="2.77734375" style="75" customWidth="1"/>
    <col min="1599" max="1603" width="2.33203125" style="75" bestFit="1" customWidth="1"/>
    <col min="1604" max="1605" width="2.77734375" style="75" customWidth="1"/>
    <col min="1606" max="1611" width="2.33203125" style="75" bestFit="1" customWidth="1"/>
    <col min="1612" max="1612" width="6" style="75" bestFit="1" customWidth="1"/>
    <col min="1613" max="1614" width="2.33203125" style="75" bestFit="1" customWidth="1"/>
    <col min="1615" max="1615" width="6" style="75" bestFit="1" customWidth="1"/>
    <col min="1616" max="1618" width="2.77734375" style="75" customWidth="1"/>
    <col min="1619" max="1621" width="2.33203125" style="75" bestFit="1" customWidth="1"/>
    <col min="1622" max="1622" width="2.77734375" style="75" customWidth="1"/>
    <col min="1623" max="1627" width="2.33203125" style="75" bestFit="1" customWidth="1"/>
    <col min="1628" max="1629" width="2.77734375" style="75" customWidth="1"/>
    <col min="1630" max="1630" width="13.5546875" style="75" bestFit="1" customWidth="1"/>
    <col min="1631" max="1631" width="2.33203125" style="75" bestFit="1" customWidth="1"/>
    <col min="1632" max="1632" width="3.5546875" style="75" bestFit="1" customWidth="1"/>
    <col min="1633" max="1633" width="13.5546875" style="75" bestFit="1" customWidth="1"/>
    <col min="1634" max="1634" width="4.77734375" style="75" bestFit="1" customWidth="1"/>
    <col min="1635" max="1635" width="3.44140625" style="75" bestFit="1" customWidth="1"/>
    <col min="1636" max="1636" width="10.44140625" style="75" bestFit="1" customWidth="1"/>
    <col min="1637" max="1637" width="4.77734375" style="75" bestFit="1" customWidth="1"/>
    <col min="1638" max="1638" width="2.21875" style="75" bestFit="1" customWidth="1"/>
    <col min="1639" max="1642" width="2.33203125" style="75" bestFit="1" customWidth="1"/>
    <col min="1643" max="1644" width="3" style="75" bestFit="1" customWidth="1"/>
    <col min="1645" max="1645" width="3.5546875" style="75" bestFit="1" customWidth="1"/>
    <col min="1646" max="1646" width="19" style="75" bestFit="1" customWidth="1"/>
    <col min="1647" max="1651" width="2.33203125" style="75" bestFit="1" customWidth="1"/>
    <col min="1652" max="1652" width="6" style="75" bestFit="1" customWidth="1"/>
    <col min="1653" max="1654" width="2.33203125" style="75" bestFit="1" customWidth="1"/>
    <col min="1655" max="1655" width="6" style="75" bestFit="1" customWidth="1"/>
    <col min="1656" max="1659" width="2.33203125" style="75" bestFit="1" customWidth="1"/>
    <col min="1660" max="1660" width="3.5546875" style="75" bestFit="1" customWidth="1"/>
    <col min="1661" max="1661" width="2.33203125" style="75" bestFit="1" customWidth="1"/>
    <col min="1662" max="1662" width="9.109375" style="75"/>
    <col min="1663" max="1663" width="2.33203125" style="75" bestFit="1" customWidth="1"/>
    <col min="1664" max="1664" width="13.5546875" style="75" bestFit="1" customWidth="1"/>
    <col min="1665" max="1665" width="2.33203125" style="75" bestFit="1" customWidth="1"/>
    <col min="1666" max="1666" width="13.5546875" style="75" bestFit="1" customWidth="1"/>
    <col min="1667" max="1670" width="9.109375" style="75"/>
    <col min="1671" max="1671" width="13.5546875" style="75" bestFit="1" customWidth="1"/>
    <col min="1672" max="1676" width="2.33203125" style="75" bestFit="1" customWidth="1"/>
    <col min="1677" max="1677" width="6" style="75" bestFit="1" customWidth="1"/>
    <col min="1678" max="1679" width="2.33203125" style="75" bestFit="1" customWidth="1"/>
    <col min="1680" max="1680" width="6" style="75" bestFit="1" customWidth="1"/>
    <col min="1681" max="1682" width="2.33203125" style="75" bestFit="1" customWidth="1"/>
    <col min="1683" max="1683" width="3.5546875" style="75" bestFit="1" customWidth="1"/>
    <col min="1684" max="1693" width="2.33203125" style="75" bestFit="1" customWidth="1"/>
    <col min="1694" max="1694" width="13.5546875" style="75" bestFit="1" customWidth="1"/>
    <col min="1695" max="1695" width="9.109375" style="75"/>
    <col min="1696" max="1700" width="2.33203125" style="75" bestFit="1" customWidth="1"/>
    <col min="1701" max="1701" width="6" style="75" bestFit="1" customWidth="1"/>
    <col min="1702" max="1703" width="2.33203125" style="75" bestFit="1" customWidth="1"/>
    <col min="1704" max="1704" width="6" style="75" bestFit="1" customWidth="1"/>
    <col min="1705" max="1707" width="9.109375" style="75"/>
    <col min="1708" max="1710" width="2.33203125" style="75" bestFit="1" customWidth="1"/>
    <col min="1711" max="1711" width="9.109375" style="75"/>
    <col min="1712" max="1716" width="2.33203125" style="75" bestFit="1" customWidth="1"/>
    <col min="1717" max="1719" width="9.109375" style="75"/>
    <col min="1720" max="1724" width="2.33203125" style="75" bestFit="1" customWidth="1"/>
    <col min="1725" max="1725" width="6" style="75" bestFit="1" customWidth="1"/>
    <col min="1726" max="1727" width="2.33203125" style="75" bestFit="1" customWidth="1"/>
    <col min="1728" max="1728" width="6" style="75" bestFit="1" customWidth="1"/>
    <col min="1729" max="1731" width="9.109375" style="75"/>
    <col min="1732" max="1734" width="2.33203125" style="75" bestFit="1" customWidth="1"/>
    <col min="1735" max="1735" width="9.109375" style="75"/>
    <col min="1736" max="1740" width="2.33203125" style="75" bestFit="1" customWidth="1"/>
    <col min="1741" max="1742" width="9.109375" style="75"/>
    <col min="1743" max="1748" width="2.33203125" style="75" bestFit="1" customWidth="1"/>
    <col min="1749" max="1749" width="6" style="75" bestFit="1" customWidth="1"/>
    <col min="1750" max="1751" width="2.33203125" style="75" bestFit="1" customWidth="1"/>
    <col min="1752" max="1752" width="6" style="75" bestFit="1" customWidth="1"/>
    <col min="1753" max="1755" width="9.109375" style="75"/>
    <col min="1756" max="1758" width="2.33203125" style="75" bestFit="1" customWidth="1"/>
    <col min="1759" max="1759" width="9.109375" style="75"/>
    <col min="1760" max="1764" width="2.33203125" style="75" bestFit="1" customWidth="1"/>
    <col min="1765" max="1766" width="9.109375" style="75"/>
    <col min="1767" max="1767" width="13.5546875" style="75" bestFit="1" customWidth="1"/>
    <col min="1768" max="1768" width="2.33203125" style="75" bestFit="1" customWidth="1"/>
    <col min="1769" max="1769" width="3.5546875" style="75" bestFit="1" customWidth="1"/>
    <col min="1770" max="1770" width="13.5546875" style="75" bestFit="1" customWidth="1"/>
    <col min="1771" max="1771" width="4.77734375" style="75" bestFit="1" customWidth="1"/>
    <col min="1772" max="1772" width="9.109375" style="75"/>
    <col min="1773" max="1773" width="10.44140625" style="75" bestFit="1" customWidth="1"/>
    <col min="1774" max="1774" width="4.77734375" style="75" bestFit="1" customWidth="1"/>
    <col min="1775" max="1775" width="9.109375" style="75"/>
    <col min="1776" max="1779" width="2.33203125" style="75" bestFit="1" customWidth="1"/>
    <col min="1780" max="1781" width="9.109375" style="75"/>
    <col min="1782" max="1782" width="3.5546875" style="75" bestFit="1" customWidth="1"/>
    <col min="1783" max="1783" width="19" style="75" bestFit="1" customWidth="1"/>
    <col min="1784" max="1788" width="2.33203125" style="75" bestFit="1" customWidth="1"/>
    <col min="1789" max="1789" width="6" style="75" bestFit="1" customWidth="1"/>
    <col min="1790" max="1791" width="2.33203125" style="75" bestFit="1" customWidth="1"/>
    <col min="1792" max="1792" width="6" style="75" bestFit="1" customWidth="1"/>
    <col min="1793" max="1796" width="2.33203125" style="75" bestFit="1" customWidth="1"/>
    <col min="1797" max="1797" width="3.5546875" style="75" bestFit="1" customWidth="1"/>
    <col min="1798" max="1798" width="2.33203125" style="75" bestFit="1" customWidth="1"/>
    <col min="1799" max="1799" width="2.77734375" style="75" customWidth="1"/>
    <col min="1800" max="1800" width="2.33203125" style="75" bestFit="1" customWidth="1"/>
    <col min="1801" max="1801" width="13.5546875" style="75" bestFit="1" customWidth="1"/>
    <col min="1802" max="1802" width="2.33203125" style="75" bestFit="1" customWidth="1"/>
    <col min="1803" max="1803" width="13.5546875" style="75" bestFit="1" customWidth="1"/>
    <col min="1804" max="1804" width="8.88671875" style="75" bestFit="1" customWidth="1"/>
    <col min="1805" max="1807" width="2.77734375" style="75" customWidth="1"/>
    <col min="1808" max="1808" width="13.5546875" style="75" bestFit="1" customWidth="1"/>
    <col min="1809" max="1813" width="2.33203125" style="75" bestFit="1" customWidth="1"/>
    <col min="1814" max="1814" width="6" style="75" bestFit="1" customWidth="1"/>
    <col min="1815" max="1816" width="2.33203125" style="75" bestFit="1" customWidth="1"/>
    <col min="1817" max="1817" width="6" style="75" bestFit="1" customWidth="1"/>
    <col min="1818" max="1819" width="2.33203125" style="75" bestFit="1" customWidth="1"/>
    <col min="1820" max="1820" width="3.5546875" style="75" bestFit="1" customWidth="1"/>
    <col min="1821" max="1830" width="2.33203125" style="75" bestFit="1" customWidth="1"/>
    <col min="1831" max="1831" width="13.5546875" style="75" bestFit="1" customWidth="1"/>
    <col min="1832" max="1832" width="8.88671875" style="75" bestFit="1" customWidth="1"/>
    <col min="1833" max="1837" width="2.33203125" style="75" bestFit="1" customWidth="1"/>
    <col min="1838" max="1838" width="6" style="75" bestFit="1" customWidth="1"/>
    <col min="1839" max="1840" width="2.33203125" style="75" bestFit="1" customWidth="1"/>
    <col min="1841" max="1841" width="6" style="75" bestFit="1" customWidth="1"/>
    <col min="1842" max="1842" width="3.44140625" style="75" bestFit="1" customWidth="1"/>
    <col min="1843" max="1843" width="2.21875" style="75" bestFit="1" customWidth="1"/>
    <col min="1844" max="1844" width="3.44140625" style="75" bestFit="1" customWidth="1"/>
    <col min="1845" max="1847" width="2.33203125" style="75" bestFit="1" customWidth="1"/>
    <col min="1848" max="1848" width="2.21875" style="75" bestFit="1" customWidth="1"/>
    <col min="1849" max="1853" width="2.33203125" style="75" bestFit="1" customWidth="1"/>
    <col min="1854" max="1854" width="2.21875" style="75" bestFit="1" customWidth="1"/>
    <col min="1855" max="1855" width="8.88671875" style="75" bestFit="1" customWidth="1"/>
    <col min="1856" max="1856" width="2.77734375" style="75" customWidth="1"/>
    <col min="1857" max="1861" width="2.33203125" style="75" bestFit="1" customWidth="1"/>
    <col min="1862" max="1862" width="6" style="75" bestFit="1" customWidth="1"/>
    <col min="1863" max="1864" width="2.33203125" style="75" bestFit="1" customWidth="1"/>
    <col min="1865" max="1865" width="6" style="75" bestFit="1" customWidth="1"/>
    <col min="1866" max="1868" width="2.77734375" style="75" customWidth="1"/>
    <col min="1869" max="1871" width="2.33203125" style="75" bestFit="1" customWidth="1"/>
    <col min="1872" max="1872" width="2.77734375" style="75" customWidth="1"/>
    <col min="1873" max="1877" width="2.33203125" style="75" bestFit="1" customWidth="1"/>
    <col min="1878" max="1879" width="2.77734375" style="75" customWidth="1"/>
    <col min="1880" max="1885" width="2.33203125" style="75" bestFit="1" customWidth="1"/>
    <col min="1886" max="1886" width="6" style="75" bestFit="1" customWidth="1"/>
    <col min="1887" max="1888" width="2.33203125" style="75" bestFit="1" customWidth="1"/>
    <col min="1889" max="1889" width="6" style="75" bestFit="1" customWidth="1"/>
    <col min="1890" max="1892" width="2.77734375" style="75" customWidth="1"/>
    <col min="1893" max="1895" width="2.33203125" style="75" bestFit="1" customWidth="1"/>
    <col min="1896" max="1896" width="2.77734375" style="75" customWidth="1"/>
    <col min="1897" max="1901" width="2.33203125" style="75" bestFit="1" customWidth="1"/>
    <col min="1902" max="1903" width="2.77734375" style="75" customWidth="1"/>
    <col min="1904" max="1904" width="13.5546875" style="75" bestFit="1" customWidth="1"/>
    <col min="1905" max="1905" width="2.33203125" style="75" bestFit="1" customWidth="1"/>
    <col min="1906" max="1906" width="3.5546875" style="75" bestFit="1" customWidth="1"/>
    <col min="1907" max="1907" width="13.5546875" style="75" bestFit="1" customWidth="1"/>
    <col min="1908" max="1908" width="4.77734375" style="75" bestFit="1" customWidth="1"/>
    <col min="1909" max="1909" width="3.44140625" style="75" bestFit="1" customWidth="1"/>
    <col min="1910" max="1910" width="10.44140625" style="75" bestFit="1" customWidth="1"/>
    <col min="1911" max="1911" width="4.77734375" style="75" bestFit="1" customWidth="1"/>
    <col min="1912" max="1912" width="2.21875" style="75" bestFit="1" customWidth="1"/>
    <col min="1913" max="1916" width="2.33203125" style="75" bestFit="1" customWidth="1"/>
    <col min="1917" max="1918" width="3" style="75" bestFit="1" customWidth="1"/>
    <col min="1919" max="1919" width="3.5546875" style="75" bestFit="1" customWidth="1"/>
    <col min="1920" max="1920" width="19" style="75" bestFit="1" customWidth="1"/>
    <col min="1921" max="1925" width="2.33203125" style="75" bestFit="1" customWidth="1"/>
    <col min="1926" max="1926" width="6" style="75" bestFit="1" customWidth="1"/>
    <col min="1927" max="1928" width="2.33203125" style="75" bestFit="1" customWidth="1"/>
    <col min="1929" max="1929" width="6" style="75" bestFit="1" customWidth="1"/>
    <col min="1930" max="1933" width="2.33203125" style="75" bestFit="1" customWidth="1"/>
    <col min="1934" max="1934" width="3.5546875" style="75" bestFit="1" customWidth="1"/>
    <col min="1935" max="1935" width="2.33203125" style="75" bestFit="1" customWidth="1"/>
    <col min="1936" max="1936" width="9.109375" style="75"/>
    <col min="1937" max="1937" width="2.33203125" style="75" bestFit="1" customWidth="1"/>
    <col min="1938" max="1938" width="13.5546875" style="75" bestFit="1" customWidth="1"/>
    <col min="1939" max="1939" width="2.33203125" style="75" bestFit="1" customWidth="1"/>
    <col min="1940" max="1940" width="13.5546875" style="75" bestFit="1" customWidth="1"/>
    <col min="1941" max="1944" width="9.109375" style="75"/>
    <col min="1945" max="1945" width="13.5546875" style="75" bestFit="1" customWidth="1"/>
    <col min="1946" max="1950" width="2.33203125" style="75" bestFit="1" customWidth="1"/>
    <col min="1951" max="1951" width="6" style="75" bestFit="1" customWidth="1"/>
    <col min="1952" max="1953" width="2.33203125" style="75" bestFit="1" customWidth="1"/>
    <col min="1954" max="1954" width="6" style="75" bestFit="1" customWidth="1"/>
    <col min="1955" max="1956" width="2.33203125" style="75" bestFit="1" customWidth="1"/>
    <col min="1957" max="1957" width="3.5546875" style="75" bestFit="1" customWidth="1"/>
    <col min="1958" max="1967" width="2.33203125" style="75" bestFit="1" customWidth="1"/>
    <col min="1968" max="1968" width="13.5546875" style="75" bestFit="1" customWidth="1"/>
    <col min="1969" max="1969" width="9.109375" style="75"/>
    <col min="1970" max="1974" width="2.33203125" style="75" bestFit="1" customWidth="1"/>
    <col min="1975" max="1975" width="6" style="75" bestFit="1" customWidth="1"/>
    <col min="1976" max="1977" width="2.33203125" style="75" bestFit="1" customWidth="1"/>
    <col min="1978" max="1978" width="6" style="75" bestFit="1" customWidth="1"/>
    <col min="1979" max="1981" width="9.109375" style="75"/>
    <col min="1982" max="1984" width="2.33203125" style="75" bestFit="1" customWidth="1"/>
    <col min="1985" max="1985" width="9.109375" style="75"/>
    <col min="1986" max="1990" width="2.33203125" style="75" bestFit="1" customWidth="1"/>
    <col min="1991" max="1993" width="9.109375" style="75"/>
    <col min="1994" max="1998" width="2.33203125" style="75" bestFit="1" customWidth="1"/>
    <col min="1999" max="1999" width="6" style="75" bestFit="1" customWidth="1"/>
    <col min="2000" max="2001" width="2.33203125" style="75" bestFit="1" customWidth="1"/>
    <col min="2002" max="2002" width="6" style="75" bestFit="1" customWidth="1"/>
    <col min="2003" max="2005" width="9.109375" style="75"/>
    <col min="2006" max="2008" width="2.33203125" style="75" bestFit="1" customWidth="1"/>
    <col min="2009" max="2009" width="9.109375" style="75"/>
    <col min="2010" max="2014" width="2.33203125" style="75" bestFit="1" customWidth="1"/>
    <col min="2015" max="2016" width="9.109375" style="75"/>
    <col min="2017" max="2022" width="2.33203125" style="75" bestFit="1" customWidth="1"/>
    <col min="2023" max="2023" width="6" style="75" bestFit="1" customWidth="1"/>
    <col min="2024" max="2025" width="2.33203125" style="75" bestFit="1" customWidth="1"/>
    <col min="2026" max="2026" width="6" style="75" bestFit="1" customWidth="1"/>
    <col min="2027" max="2029" width="9.109375" style="75"/>
    <col min="2030" max="2032" width="2.33203125" style="75" bestFit="1" customWidth="1"/>
    <col min="2033" max="2033" width="9.109375" style="75"/>
    <col min="2034" max="2038" width="2.33203125" style="75" bestFit="1" customWidth="1"/>
    <col min="2039" max="2040" width="9.109375" style="75"/>
    <col min="2041" max="2041" width="13.5546875" style="75" bestFit="1" customWidth="1"/>
    <col min="2042" max="2042" width="2.33203125" style="75" bestFit="1" customWidth="1"/>
    <col min="2043" max="2043" width="3.5546875" style="75" bestFit="1" customWidth="1"/>
    <col min="2044" max="2044" width="13.5546875" style="75" bestFit="1" customWidth="1"/>
    <col min="2045" max="2045" width="4.77734375" style="75" bestFit="1" customWidth="1"/>
    <col min="2046" max="2046" width="9.109375" style="75"/>
    <col min="2047" max="2047" width="10.44140625" style="75" bestFit="1" customWidth="1"/>
    <col min="2048" max="2048" width="4.77734375" style="75" bestFit="1" customWidth="1"/>
    <col min="2049" max="2049" width="9.109375" style="75"/>
    <col min="2050" max="2053" width="2.33203125" style="75" bestFit="1" customWidth="1"/>
    <col min="2054" max="2055" width="9.109375" style="75"/>
    <col min="2056" max="2056" width="3.5546875" style="75" bestFit="1" customWidth="1"/>
    <col min="2057" max="2057" width="19" style="75" bestFit="1" customWidth="1"/>
    <col min="2058" max="2062" width="2.33203125" style="75" bestFit="1" customWidth="1"/>
    <col min="2063" max="2063" width="6" style="75" bestFit="1" customWidth="1"/>
    <col min="2064" max="2065" width="2.33203125" style="75" bestFit="1" customWidth="1"/>
    <col min="2066" max="2066" width="6" style="75" bestFit="1" customWidth="1"/>
    <col min="2067" max="2070" width="2.33203125" style="75" bestFit="1" customWidth="1"/>
    <col min="2071" max="2071" width="3.5546875" style="75" bestFit="1" customWidth="1"/>
    <col min="2072" max="2072" width="2.33203125" style="75" bestFit="1" customWidth="1"/>
    <col min="2073" max="2073" width="9.109375" style="75"/>
    <col min="2074" max="2074" width="2.33203125" style="75" bestFit="1" customWidth="1"/>
    <col min="2075" max="2075" width="13.5546875" style="75" bestFit="1" customWidth="1"/>
    <col min="2076" max="2076" width="2.33203125" style="75" bestFit="1" customWidth="1"/>
    <col min="2077" max="2077" width="13.5546875" style="75" bestFit="1" customWidth="1"/>
    <col min="2078" max="2081" width="9.109375" style="75"/>
    <col min="2082" max="2082" width="13.5546875" style="75" bestFit="1" customWidth="1"/>
    <col min="2083" max="2087" width="2.33203125" style="75" bestFit="1" customWidth="1"/>
    <col min="2088" max="2088" width="6" style="75" bestFit="1" customWidth="1"/>
    <col min="2089" max="2090" width="2.33203125" style="75" bestFit="1" customWidth="1"/>
    <col min="2091" max="2091" width="6" style="75" bestFit="1" customWidth="1"/>
    <col min="2092" max="2093" width="2.33203125" style="75" bestFit="1" customWidth="1"/>
    <col min="2094" max="2094" width="3.5546875" style="75" bestFit="1" customWidth="1"/>
    <col min="2095" max="2104" width="2.33203125" style="75" bestFit="1" customWidth="1"/>
    <col min="2105" max="2105" width="13.5546875" style="75" bestFit="1" customWidth="1"/>
    <col min="2106" max="2106" width="9.109375" style="75"/>
    <col min="2107" max="2111" width="2.33203125" style="75" bestFit="1" customWidth="1"/>
    <col min="2112" max="2112" width="6" style="75" bestFit="1" customWidth="1"/>
    <col min="2113" max="2114" width="2.33203125" style="75" bestFit="1" customWidth="1"/>
    <col min="2115" max="2115" width="6" style="75" bestFit="1" customWidth="1"/>
    <col min="2116" max="2118" width="9.109375" style="75"/>
    <col min="2119" max="2121" width="2.33203125" style="75" bestFit="1" customWidth="1"/>
    <col min="2122" max="2122" width="9.109375" style="75"/>
    <col min="2123" max="2127" width="2.33203125" style="75" bestFit="1" customWidth="1"/>
    <col min="2128" max="2130" width="9.109375" style="75"/>
    <col min="2131" max="2135" width="2.33203125" style="75" bestFit="1" customWidth="1"/>
    <col min="2136" max="2136" width="6" style="75" bestFit="1" customWidth="1"/>
    <col min="2137" max="2138" width="2.33203125" style="75" bestFit="1" customWidth="1"/>
    <col min="2139" max="2139" width="6" style="75" bestFit="1" customWidth="1"/>
    <col min="2140" max="2142" width="9.109375" style="75"/>
    <col min="2143" max="2145" width="2.33203125" style="75" bestFit="1" customWidth="1"/>
    <col min="2146" max="2146" width="9.109375" style="75"/>
    <col min="2147" max="2151" width="2.33203125" style="75" bestFit="1" customWidth="1"/>
    <col min="2152" max="2153" width="9.109375" style="75"/>
    <col min="2154" max="2159" width="2.33203125" style="75" bestFit="1" customWidth="1"/>
    <col min="2160" max="2160" width="6" style="75" bestFit="1" customWidth="1"/>
    <col min="2161" max="2162" width="2.33203125" style="75" bestFit="1" customWidth="1"/>
    <col min="2163" max="2163" width="6" style="75" bestFit="1" customWidth="1"/>
    <col min="2164" max="2166" width="9.109375" style="75"/>
    <col min="2167" max="2169" width="2.33203125" style="75" bestFit="1" customWidth="1"/>
    <col min="2170" max="2170" width="9.109375" style="75"/>
    <col min="2171" max="2175" width="2.33203125" style="75" bestFit="1" customWidth="1"/>
    <col min="2176" max="2177" width="9.109375" style="75"/>
    <col min="2178" max="2178" width="13.5546875" style="75" bestFit="1" customWidth="1"/>
    <col min="2179" max="2179" width="2.33203125" style="75" bestFit="1" customWidth="1"/>
    <col min="2180" max="2180" width="3.5546875" style="75" bestFit="1" customWidth="1"/>
    <col min="2181" max="2181" width="13.5546875" style="75" bestFit="1" customWidth="1"/>
    <col min="2182" max="2182" width="4.77734375" style="75" bestFit="1" customWidth="1"/>
    <col min="2183" max="2183" width="9.109375" style="75"/>
    <col min="2184" max="2184" width="10.44140625" style="75" bestFit="1" customWidth="1"/>
    <col min="2185" max="2185" width="4.77734375" style="75" bestFit="1" customWidth="1"/>
    <col min="2186" max="2186" width="9.109375" style="75"/>
    <col min="2187" max="2190" width="2.33203125" style="75" bestFit="1" customWidth="1"/>
    <col min="2191" max="16384" width="9.109375" style="75"/>
  </cols>
  <sheetData>
    <row r="1" spans="1:274" x14ac:dyDescent="0.2">
      <c r="A1" s="75">
        <v>1</v>
      </c>
      <c r="EH1" s="75">
        <f>A1+1</f>
        <v>2</v>
      </c>
      <c r="EI1" s="75" t="s">
        <v>84</v>
      </c>
      <c r="JD1" s="75">
        <v>0</v>
      </c>
      <c r="JF1" s="75">
        <f t="shared" ref="JF1:JG1" si="0">JE1</f>
        <v>0</v>
      </c>
      <c r="JG1" s="75">
        <f t="shared" si="0"/>
        <v>0</v>
      </c>
    </row>
    <row r="3" spans="1:274" x14ac:dyDescent="0.2">
      <c r="DU3" s="75">
        <v>1</v>
      </c>
      <c r="DV3" s="75" t="str">
        <f>Tournament!H13</f>
        <v>England</v>
      </c>
      <c r="DW3" s="75">
        <f>IF(AND(Tournament!J13&lt;&gt;"",Tournament!L13&lt;&gt;""),Tournament!J13,0)</f>
        <v>0</v>
      </c>
      <c r="DX3" s="75">
        <f>IF(AND(Tournament!L13&lt;&gt;"",Tournament!J13&lt;&gt;""),Tournament!L13,0)</f>
        <v>0</v>
      </c>
      <c r="DY3" s="75" t="str">
        <f>Tournament!N13</f>
        <v>Fiji</v>
      </c>
      <c r="DZ3" s="75">
        <f>IF(Tournament!O13&lt;&gt;"",Tournament!O13,0)</f>
        <v>0</v>
      </c>
      <c r="EA3" s="75">
        <f>IF(Tournament!Q13&lt;&gt;"",Tournament!Q13,0)</f>
        <v>0</v>
      </c>
      <c r="EB3" s="75">
        <f>IF(DW3&lt;&gt;"",IF(Tournament!O13&gt;3,1,0),0)</f>
        <v>1</v>
      </c>
      <c r="EC3" s="75">
        <f>IF(DX3&lt;&gt;"",IF(Tournament!Q13&gt;3,1,0),0)</f>
        <v>1</v>
      </c>
      <c r="ED3" s="75">
        <f>IFERROR(IF(AND(DW3&lt;&gt;"",DW3&lt;DX3,DX3-DW3&lt;8),1,0),0)</f>
        <v>0</v>
      </c>
      <c r="EE3" s="75">
        <f>IFERROR(IF(AND(DX3&lt;&gt;"",DX3&lt;DW3,DW3-DX3&lt;8),1,0),0)</f>
        <v>0</v>
      </c>
      <c r="EF3" s="75" t="str">
        <f>IF(AND(Tournament!J13&lt;&gt;"",Tournament!L13&lt;&gt;""),IF(DW3&gt;DX3,"W",IF(DW3=DX3,"D","L")),"")</f>
        <v/>
      </c>
      <c r="EG3" s="75" t="str">
        <f>IF(EF3&lt;&gt;"",IF(EF3="W","L",IF(EF3="L","W","D")),"")</f>
        <v/>
      </c>
      <c r="JB3" s="75">
        <v>1</v>
      </c>
      <c r="JC3" s="75" t="str">
        <f>DV3</f>
        <v>England</v>
      </c>
      <c r="JD3" s="75" t="str">
        <f ca="1">IF(OFFSET('Prediction Sheet'!$W13,0,JD$1)&lt;&gt;"",OFFSET('Prediction Sheet'!$W13,0,JD$1),"")</f>
        <v/>
      </c>
      <c r="JE3" s="75" t="str">
        <f ca="1">IF(OFFSET('Prediction Sheet'!$Y13,0,JD$1)&lt;&gt;"",OFFSET('Prediction Sheet'!$Y13,0,JD$1),"")</f>
        <v/>
      </c>
      <c r="JF3" s="75" t="str">
        <f>DY3</f>
        <v>Fiji</v>
      </c>
      <c r="JG3" s="75" t="str">
        <f ca="1">IF(OFFSET('Prediction Sheet'!$AA13,0,JF$1)&lt;&gt;"",OFFSET('Prediction Sheet'!$AA13,0,JF$1),"")</f>
        <v/>
      </c>
      <c r="JH3" s="75" t="str">
        <f ca="1">IF(OFFSET('Prediction Sheet'!$AC13,0,JG$1)&lt;&gt;"",OFFSET('Prediction Sheet'!$AC13,0,JG$1),"")</f>
        <v/>
      </c>
      <c r="JI3" s="75">
        <f ca="1">IF(JD3&lt;&gt;"",IF(JG3&gt;3,1,0),0)</f>
        <v>0</v>
      </c>
      <c r="JJ3" s="75">
        <f ca="1">IF(JE3&lt;&gt;"",IF(JH3&gt;3,1,0),0)</f>
        <v>0</v>
      </c>
      <c r="JK3" s="75">
        <f ca="1">IFERROR(IF(AND(JD3&lt;&gt;"",JD3&lt;JE3,JE3-JD3&lt;8),1,0),0)</f>
        <v>0</v>
      </c>
      <c r="JL3" s="75">
        <f ca="1">IFERROR(IF(AND(JE3&lt;&gt;"",JE3&lt;JD3,JD3-JE3&lt;8),1,0),0)</f>
        <v>0</v>
      </c>
      <c r="JM3" s="75" t="str">
        <f ca="1">IF(AND(JD3&lt;&gt;"",JE3&lt;&gt;""),IF(JD3&gt;JE3,"W",IF(JD3=JE3,"D","L")),"")</f>
        <v/>
      </c>
      <c r="JN3" s="75" t="str">
        <f ca="1">IF(JM3&lt;&gt;"",IF(JM3="W","L",IF(JM3="L","W","D")),"")</f>
        <v/>
      </c>
    </row>
    <row r="4" spans="1:274" x14ac:dyDescent="0.2">
      <c r="A4" s="75">
        <f>VLOOKUP(B4,DS4:DT8,2,FALSE)</f>
        <v>4</v>
      </c>
      <c r="B4" s="75" t="s">
        <v>6</v>
      </c>
      <c r="C4" s="75">
        <f>COUNTIFS($DV$3:$DV$42,B4,$EF$3:$EF$42,"W")+COUNTIFS($DY$3:$DY$42,B4,$EG$3:$EG$42,"W")</f>
        <v>0</v>
      </c>
      <c r="D4" s="75">
        <f>COUNTIFS($DV$3:$DV$42,B4,$EF$3:$EF$42,"D")+COUNTIFS($DY$3:$DY$42,B4,$EG$3:$EG$42,"D")</f>
        <v>0</v>
      </c>
      <c r="E4" s="75">
        <f>COUNTIFS($DV$3:$DV$42,B4,$EF$3:$EF$42,"L")+COUNTIFS($DY$3:$DY$42,B4,$EG$3:$EG$42,"L")</f>
        <v>0</v>
      </c>
      <c r="F4" s="75">
        <f>SUMIF($DV$3:$DV$60,B4,$DW$3:$DW$60)+SUMIF($DY$3:$DY$60,B4,$DX$3:$DX$60)</f>
        <v>0</v>
      </c>
      <c r="G4" s="75">
        <f>SUMIF($DY$3:$DY$60,B4,$DW$3:$DW$60)+SUMIF($DV$3:$DV$60,B4,$DX$3:$DX$60)</f>
        <v>0</v>
      </c>
      <c r="H4" s="75">
        <f>F4-G4+1000</f>
        <v>1000</v>
      </c>
      <c r="I4" s="75">
        <f>SUMIF(Tournament!$H$13:$H$52,B4,Tournament!$O$13:$O$52)+SUMIF(Tournament!$N$13:$N$52,B4,Tournament!$Q$13:$Q$52)</f>
        <v>0</v>
      </c>
      <c r="J4" s="75">
        <f>SUMIF(Tournament!$N$13:$N$52,B4,Tournament!$O$13:$O$52)+SUMIF(Tournament!$H$13:$H$52,B4,Tournament!$Q$13:$Q$52)</f>
        <v>0</v>
      </c>
      <c r="K4" s="75">
        <f>I4-J4+1000</f>
        <v>1000</v>
      </c>
      <c r="L4" s="75">
        <f>C4*4+D4*2</f>
        <v>0</v>
      </c>
      <c r="M4" s="75">
        <f>SUMIF(DV:DV,B4,EB:EB)+SUMIF(DY:DY,B4,EC:EC)</f>
        <v>4</v>
      </c>
      <c r="N4" s="75">
        <f>SUMIF(DV:DV,B4,ED:ED)+SUMIF(DY:DY,B4,EE:EE)</f>
        <v>0</v>
      </c>
      <c r="O4" s="75">
        <f>N4+M4+L4</f>
        <v>4</v>
      </c>
      <c r="P4" s="75">
        <v>5</v>
      </c>
      <c r="Q4" s="75">
        <f>RANK(O4,O$4:O$8)</f>
        <v>1</v>
      </c>
      <c r="S4" s="75">
        <f>RANK(O4,$O$4:$O$8)+COUNTIF($O$4:O4,O4)-1</f>
        <v>1</v>
      </c>
      <c r="T4" s="75" t="str">
        <f>INDEX($B$4:$B$8,MATCH(1,$S$4:$S$8,0),0)</f>
        <v>Australia</v>
      </c>
      <c r="U4" s="75">
        <f>INDEX($Q$4:$Q$8,MATCH(T4,$B$4:$B$8,0),0)</f>
        <v>1</v>
      </c>
      <c r="V4" s="75" t="str">
        <f>IF(U5=1,T4,"")</f>
        <v>Australia</v>
      </c>
      <c r="W4" s="75" t="str">
        <f>IF(U6=2,T5,"")</f>
        <v/>
      </c>
      <c r="X4" s="75" t="str">
        <f>IF(U7=3,T6,"")</f>
        <v/>
      </c>
      <c r="Y4" s="75" t="str">
        <f>IF(U8=4,T7,"")</f>
        <v/>
      </c>
      <c r="AA4" s="75" t="str">
        <f>IF(V4&lt;&gt;"",V4,"")</f>
        <v>Australia</v>
      </c>
      <c r="AB4" s="75">
        <f>SUMPRODUCT((DV3:DV42=AA4)*(DY3:DY42=AA5)*(EF3:EF42="W"))+SUMPRODUCT((DV3:DV42=AA4)*(DY3:DY42=AA6)*(EF3:EF42="W"))+SUMPRODUCT((DV3:DV42=AA4)*(DY3:DY42=AA7)*(EF3:EF42="W"))+SUMPRODUCT((DV3:DV42=AA4)*(DY3:DY42=AA8)*(EF3:EF42="W"))+SUMPRODUCT((DV3:DV42=AA5)*(DY3:DY42=AA4)*(EG3:EG42="W"))+SUMPRODUCT((DV3:DV42=AA6)*(DY3:DY42=AA4)*(EG3:EG42="W"))+SUMPRODUCT((DV3:DV42=AA7)*(DY3:DY42=AA4)*(EG3:EG42="W"))+SUMPRODUCT((DV3:DV42=AA8)*(DY3:DY42=AA4)*(EG3:EG42="W"))</f>
        <v>0</v>
      </c>
      <c r="AC4" s="75">
        <f>SUMPRODUCT((DV3:DV42=AA4)*(DY3:DY42=AA5)*(EF3:EF42="D"))+SUMPRODUCT((DV3:DV42=AA4)*(DY3:DY42=AA6)*(EF3:EF42="D"))+SUMPRODUCT((DV3:DV42=AA4)*(DY3:DY42=AA7)*(EF3:EF42="D"))+SUMPRODUCT((DV3:DV42=AA4)*(DY3:DY42=AA8)*(EF3:EF42="D"))+SUMPRODUCT((DV3:DV42=AA5)*(DY3:DY42=AA4)*(EF3:EF42="D"))+SUMPRODUCT((DV3:DV42=AA6)*(DY3:DY42=AA4)*(EF3:EF42="D"))+SUMPRODUCT((DV3:DV42=AA7)*(DY3:DY42=AA4)*(EF3:EF42="D"))+SUMPRODUCT((DV3:DV42=AA8)*(DY3:DY42=AA4)*(EF3:EF42="D"))</f>
        <v>0</v>
      </c>
      <c r="AD4" s="75">
        <f>SUMPRODUCT((DV3:DV42=AA4)*(DY3:DY42=AA5)*(EF3:EF42="L"))+SUMPRODUCT((DV3:DV42=AA4)*(DY3:DY42=AA6)*(EF3:EF42="L"))+SUMPRODUCT((DV3:DV42=AA4)*(DY3:DY42=AA7)*(EF3:EF42="L"))+SUMPRODUCT((DV3:DV42=AA4)*(DY3:DY42=AA8)*(EF3:EF42="L"))+SUMPRODUCT((DV3:DV42=AA5)*(DY3:DY42=AA4)*(EG3:EG42="L"))+SUMPRODUCT((DV3:DV42=AA6)*(DY3:DY42=AA4)*(EG3:EG42="L"))+SUMPRODUCT((DV3:DV42=AA7)*(DY3:DY42=AA4)*(EG3:EG42="L"))+SUMPRODUCT((DV3:DV42=AA8)*(DY3:DY42=AA4)*(EG3:EG42="L"))</f>
        <v>0</v>
      </c>
      <c r="AE4" s="75">
        <f>IF(AA4&lt;&gt;"",VLOOKUP(AA4,B4:F29,5,FALSE),0)</f>
        <v>0</v>
      </c>
      <c r="AF4" s="75">
        <f>IF(AA4&lt;&gt;"",VLOOKUP(AA4,B4:G29,6,FALSE),0)</f>
        <v>0</v>
      </c>
      <c r="AG4" s="75">
        <f>AE4-AF4+1000</f>
        <v>1000</v>
      </c>
      <c r="AH4" s="75">
        <f>IF(AA4&lt;&gt;"",VLOOKUP(AA4,B4:I29,8,FALSE),0)</f>
        <v>0</v>
      </c>
      <c r="AI4" s="75">
        <f>IF(AA4&lt;&gt;"",VLOOKUP(AA4,B4:J29,9,FALSE),0)</f>
        <v>0</v>
      </c>
      <c r="AJ4" s="75">
        <f>AH4-AI4+1000</f>
        <v>1000</v>
      </c>
      <c r="AK4" s="75">
        <f>IF(AA4&lt;&gt;"",VLOOKUP(AA4,B4:F8,5,FALSE),"")</f>
        <v>0</v>
      </c>
      <c r="AL4" s="75">
        <f>IF(AA4&lt;&gt;"",VLOOKUP(AA4,B4:I8,8,FALSE),"")</f>
        <v>0</v>
      </c>
      <c r="AM4" s="75">
        <f>IF(AA4&lt;&gt;"",VLOOKUP(AA4,B4:P8,15,FALSE),"")</f>
        <v>5</v>
      </c>
      <c r="AN4" s="75">
        <f>SUMPRODUCT((DV3:DV42=AA4)*(DY3:DY42=AA5)*EB3:EB42)+SUMPRODUCT((DV3:DV42=AA4)*(DY3:DY42=AA6)*EB3:EB42)+SUMPRODUCT((DV3:DV42=AA4)*(DY3:DY42=AA7)*EB3:EB42)+SUMPRODUCT((DV3:DV42=AA4)*(DY3:DY42=AA8)*EB3:EB42)+SUMPRODUCT((DV3:DV42=AA5)*(DY3:DY42=AA4)*EC3:EC42)+SUMPRODUCT((DV3:DV42=AA6)*(DY3:DY42=AA4)*EC3:EC42)+SUMPRODUCT((DV3:DV42=AA7)*(DY3:DY42=AA4)*EC3:EC42)+SUMPRODUCT((DV3:DV42=AA8)*(DY3:DY42=AA4)*EC3:EC42)</f>
        <v>4</v>
      </c>
      <c r="AO4" s="75">
        <f>SUMPRODUCT((DV3:DV42=AA4)*(DY3:DY42=AA5)*ED3:ED42)+SUMPRODUCT((DV3:DV42=AA4)*(DY3:DY42=AA6)*ED3:ED42)+SUMPRODUCT((DV3:DV42=AA4)*(DY3:DY42=AA7)*ED3:ED42)+SUMPRODUCT((DV3:DV42=AA4)*(DY3:DY42=AA8)*ED3:ED42)+SUMPRODUCT((DV3:DV42=AA5)*(DY3:DY42=AA4)*EE3:EE42)+SUMPRODUCT((DV3:DV42=AA6)*(DY3:DY42=AA4)*EE3:EE42)+SUMPRODUCT((DV3:DV42=AA7)*(DY3:DY42=AA4)*EE3:EE42)+SUMPRODUCT((DV3:DV42=AA8)*(DY3:DY42=AA4)*EE3:EE42)</f>
        <v>0</v>
      </c>
      <c r="AP4" s="75">
        <f>AB4*4+AC4*2+AN4+AO4</f>
        <v>4</v>
      </c>
      <c r="AQ4" s="75">
        <f>IF(AA4&lt;&gt;"",RANK(AP4,AP4:AP8),"")</f>
        <v>1</v>
      </c>
      <c r="AR4" s="75">
        <f>SUMPRODUCT((AP4:AP8=AP4)*(AG4:AG8&gt;AG4))</f>
        <v>0</v>
      </c>
      <c r="AS4" s="75">
        <f>SUMPRODUCT((AP4:AP8=AP4)*(AG4:AG8=AG4)*(AJ4:AJ8&gt;AJ4))</f>
        <v>0</v>
      </c>
      <c r="AT4" s="75">
        <f>SUMPRODUCT((AP4:AP8=AP4)*(AG4:AG8=AG4)*(AJ4:AJ8=AJ4)*(AK4:AK8&gt;AK4))</f>
        <v>0</v>
      </c>
      <c r="AU4" s="75">
        <f>SUMPRODUCT((AP4:AP8=AP4)*(AG4:AG8=AG4)*(AJ4:AJ8=AJ4)*(AK4:AK8=AK4)*(AL4:AL8&gt;AL4))</f>
        <v>0</v>
      </c>
      <c r="AV4" s="75">
        <f>SUMPRODUCT((AP4:AP8=AP4)*(AG4:AG8=AG4)*(AJ4:AJ8=AJ4)*(AK4:AK8=AK4)*(AL4:AL8=AL4)*(AM4:AM8&gt;AM4))</f>
        <v>3</v>
      </c>
      <c r="AW4" s="75">
        <f>IF(AA4&lt;&gt;"",SUM(AQ4:AV4),"")</f>
        <v>4</v>
      </c>
      <c r="AX4" s="75" t="str">
        <f>IF(AA4&lt;&gt;"",INDEX(AA4:AA8,MATCH(1,AW4:AW8,0),0),"")</f>
        <v>Uruguay</v>
      </c>
      <c r="DS4" s="75" t="str">
        <f>IF(AX4&lt;&gt;"",AX4,T4)</f>
        <v>Uruguay</v>
      </c>
      <c r="DT4" s="75">
        <v>1</v>
      </c>
      <c r="DU4" s="75">
        <v>2</v>
      </c>
      <c r="DV4" s="75" t="str">
        <f>Tournament!H14</f>
        <v>Tonga</v>
      </c>
      <c r="DW4" s="75">
        <f>IF(AND(Tournament!J14&lt;&gt;"",Tournament!L14&lt;&gt;""),Tournament!J14,0)</f>
        <v>0</v>
      </c>
      <c r="DX4" s="75">
        <f>IF(AND(Tournament!L14&lt;&gt;"",Tournament!J14&lt;&gt;""),Tournament!L14,0)</f>
        <v>0</v>
      </c>
      <c r="DY4" s="75" t="str">
        <f>Tournament!N14</f>
        <v>Georgia</v>
      </c>
      <c r="DZ4" s="75">
        <f>IF(Tournament!O14&lt;&gt;"",Tournament!O14,0)</f>
        <v>0</v>
      </c>
      <c r="EA4" s="75">
        <f>IF(Tournament!Q14&lt;&gt;"",Tournament!Q14,0)</f>
        <v>0</v>
      </c>
      <c r="EB4" s="75">
        <f>IF(DW4&lt;&gt;"",IF(Tournament!O14&gt;3,1,0),0)</f>
        <v>1</v>
      </c>
      <c r="EC4" s="75">
        <f>IF(DX4&lt;&gt;"",IF(Tournament!Q14&gt;3,1,0),0)</f>
        <v>1</v>
      </c>
      <c r="ED4" s="75">
        <f t="shared" ref="ED4:ED42" si="1">IFERROR(IF(AND(DW4&lt;&gt;"",DW4&lt;DX4,DX4-DW4&lt;8),1,0),0)</f>
        <v>0</v>
      </c>
      <c r="EE4" s="75">
        <f t="shared" ref="EE4:EE42" si="2">IFERROR(IF(AND(DX4&lt;&gt;"",DX4&lt;DW4,DW4-DX4&lt;8),1,0),0)</f>
        <v>0</v>
      </c>
      <c r="EF4" s="75" t="str">
        <f>IF(AND(Tournament!J14&lt;&gt;"",Tournament!L14&lt;&gt;""),IF(DW4&gt;DX4,"W",IF(DW4=DX4,"D","L")),"")</f>
        <v/>
      </c>
      <c r="EG4" s="75" t="str">
        <f t="shared" ref="EG4:EG42" si="3">IF(EF4&lt;&gt;"",IF(EF4="W","L",IF(EF4="L","W","D")),"")</f>
        <v/>
      </c>
      <c r="EH4" s="75">
        <f ca="1">VLOOKUP(EI4,IZ4:JA8,2,FALSE)</f>
        <v>4</v>
      </c>
      <c r="EI4" s="75" t="s">
        <v>6</v>
      </c>
      <c r="EJ4" s="75">
        <f ca="1">COUNTIFS(JC$3:JC$42,EI4,JM$3:JM$42,"W")+COUNTIFS(JF$3:JF$42,EI4,JN$3:JN$42,"W")</f>
        <v>0</v>
      </c>
      <c r="EK4" s="75">
        <f ca="1">COUNTIFS(JC$3:JC$42,EI4,JM$3:JM$42,"D")+COUNTIFS(JF$3:JF$42,EI4,JN$3:JN$42,"D")</f>
        <v>0</v>
      </c>
      <c r="EL4" s="75">
        <f ca="1">COUNTIFS(JC$3:JC$42,EI4,JM$3:JM$42,"L")+COUNTIFS(JF$3:JF$42,EI4,JN$3:JN$42,"L")</f>
        <v>0</v>
      </c>
      <c r="EM4" s="75">
        <f ca="1">SUMIF(JC$3:JC$60,EI4,JD$3:JD$60)+SUMIF(JF$3:JF$60,EI4,JE$3:JE$60)</f>
        <v>0</v>
      </c>
      <c r="EN4" s="75">
        <f ca="1">SUMIF(JF$3:JF$60,EI4,JD$3:JD$60)+SUMIF(JC$3:JC$60,EI4,JE$3:JE$60)</f>
        <v>0</v>
      </c>
      <c r="EO4" s="75">
        <f ca="1">EM4-EN4+1000</f>
        <v>1000</v>
      </c>
      <c r="EP4" s="75">
        <f ca="1">SUMIF(JC:JC,EI4,JG:JG)+SUMIF(JF:JF,EI4,JH:JH)</f>
        <v>0</v>
      </c>
      <c r="EQ4" s="75">
        <f ca="1">SUMIF(JF:JF,EI4,JG:JG)+SUMIF(JC:JC,EI4,JH:JH)</f>
        <v>0</v>
      </c>
      <c r="ER4" s="75">
        <f ca="1">EP4-EQ4+1000</f>
        <v>1000</v>
      </c>
      <c r="ES4" s="75">
        <f ca="1">EJ4*4+EK4*2</f>
        <v>0</v>
      </c>
      <c r="ET4" s="75">
        <f ca="1">SUMIF(JC:JC,EI4,JI:JI)+SUMIF(JF:JF,EI4,JJ:JJ)</f>
        <v>0</v>
      </c>
      <c r="EU4" s="75">
        <f ca="1">SUMIF(JC:JC,EI4,JK:JK)+SUMIF(JF:JF,EI4,JL:JL)</f>
        <v>0</v>
      </c>
      <c r="EV4" s="75">
        <f ca="1">EU4+ET4+ES4</f>
        <v>0</v>
      </c>
      <c r="EW4" s="75">
        <v>5</v>
      </c>
      <c r="EX4" s="75">
        <f ca="1">RANK(EV4,EV$4:EV$8)</f>
        <v>1</v>
      </c>
      <c r="EZ4" s="75">
        <f ca="1">RANK(EV4,EV$4:EV$8)+COUNTIF(EV$4:EV4,EV4)-1</f>
        <v>1</v>
      </c>
      <c r="FA4" s="75" t="str">
        <f ca="1">INDEX(EI$4:EI$8,MATCH(1,EZ$4:EZ$8,0),0)</f>
        <v>Australia</v>
      </c>
      <c r="FB4" s="75">
        <f ca="1">INDEX(EX$4:EX$8,MATCH(FA4,EI$4:EI$8,0),0)</f>
        <v>1</v>
      </c>
      <c r="FC4" s="75" t="str">
        <f ca="1">IF(FB5=1,FA4,"")</f>
        <v>Australia</v>
      </c>
      <c r="FD4" s="75" t="str">
        <f ca="1">IF(FB6=2,FA5,"")</f>
        <v/>
      </c>
      <c r="FE4" s="75" t="str">
        <f ca="1">IF(FB7=3,FA6,"")</f>
        <v/>
      </c>
      <c r="FF4" s="75" t="str">
        <f ca="1">IF(FB8=4,FA7,"")</f>
        <v/>
      </c>
      <c r="FH4" s="75" t="str">
        <f ca="1">IF(FC4&lt;&gt;"",FC4,"")</f>
        <v>Australia</v>
      </c>
      <c r="FI4" s="75">
        <f ca="1">SUMPRODUCT((JC3:JC42=FH4)*(JF3:JF42=FH5)*(JM3:JM42="W"))+SUMPRODUCT((JC3:JC42=FH4)*(JF3:JF42=FH6)*(JM3:JM42="W"))+SUMPRODUCT((JC3:JC42=FH4)*(JF3:JF42=FH7)*(JM3:JM42="W"))+SUMPRODUCT((JC3:JC42=FH4)*(JF3:JF42=FH8)*(JM3:JM42="W"))+SUMPRODUCT((JC3:JC42=FH5)*(JF3:JF42=FH4)*(JN3:JN42="W"))+SUMPRODUCT((JC3:JC42=FH6)*(JF3:JF42=FH4)*(JN3:JN42="W"))+SUMPRODUCT((JC3:JC42=FH7)*(JF3:JF42=FH4)*(JN3:JN42="W"))+SUMPRODUCT((JC3:JC42=FH8)*(JF3:JF42=FH4)*(JN3:JN42="W"))</f>
        <v>0</v>
      </c>
      <c r="FJ4" s="75">
        <f ca="1">SUMPRODUCT((JC3:JC42=FH4)*(JF3:JF42=FH5)*(JM3:JM42="D"))+SUMPRODUCT((JC3:JC42=FH4)*(JF3:JF42=FH6)*(JM3:JM42="D"))+SUMPRODUCT((JC3:JC42=FH4)*(JF3:JF42=FH7)*(JM3:JM42="D"))+SUMPRODUCT((JC3:JC42=FH4)*(JF3:JF42=FH8)*(JM3:JM42="D"))+SUMPRODUCT((JC3:JC42=FH5)*(JF3:JF42=FH4)*(JM3:JM42="D"))+SUMPRODUCT((JC3:JC42=FH6)*(JF3:JF42=FH4)*(JM3:JM42="D"))+SUMPRODUCT((JC3:JC42=FH7)*(JF3:JF42=FH4)*(JM3:JM42="D"))+SUMPRODUCT((JC3:JC42=FH8)*(JF3:JF42=FH4)*(JM3:JM42="D"))</f>
        <v>0</v>
      </c>
      <c r="FK4" s="75">
        <f ca="1">SUMPRODUCT((JC3:JC42=FH4)*(JF3:JF42=FH5)*(JM3:JM42="L"))+SUMPRODUCT((JC3:JC42=FH4)*(JF3:JF42=FH6)*(JM3:JM42="L"))+SUMPRODUCT((JC3:JC42=FH4)*(JF3:JF42=FH7)*(JM3:JM42="L"))+SUMPRODUCT((JC3:JC42=FH4)*(JF3:JF42=FH8)*(JM3:JM42="L"))+SUMPRODUCT((JC3:JC42=FH5)*(JF3:JF42=FH4)*(JN3:JN42="L"))+SUMPRODUCT((JC3:JC42=FH6)*(JF3:JF42=FH4)*(JN3:JN42="L"))+SUMPRODUCT((JC3:JC42=FH7)*(JF3:JF42=FH4)*(JN3:JN42="L"))+SUMPRODUCT((JC3:JC42=FH8)*(JF3:JF42=FH4)*(JN3:JN42="L"))</f>
        <v>0</v>
      </c>
      <c r="FL4" s="75">
        <f ca="1">IF(FH4&lt;&gt;"",VLOOKUP(FH4,EI4:EM29,5,FALSE),0)</f>
        <v>0</v>
      </c>
      <c r="FM4" s="75">
        <f ca="1">IF(FH4&lt;&gt;"",VLOOKUP(FH4,EI4:EN29,6,FALSE),0)</f>
        <v>0</v>
      </c>
      <c r="FN4" s="75">
        <f ca="1">FL4-FM4+1000</f>
        <v>1000</v>
      </c>
      <c r="FO4" s="75">
        <f ca="1">IF(FH4&lt;&gt;"",VLOOKUP(FH4,EI4:EP29,8,FALSE),0)</f>
        <v>0</v>
      </c>
      <c r="FP4" s="75">
        <f ca="1">IF(FH4&lt;&gt;"",VLOOKUP(FH4,EI4:EQ29,9,FALSE),0)</f>
        <v>0</v>
      </c>
      <c r="FQ4" s="75">
        <f ca="1">FO4-FP4+1000</f>
        <v>1000</v>
      </c>
      <c r="FR4" s="75">
        <f ca="1">IF(FH4&lt;&gt;"",VLOOKUP(FH4,EI4:EM8,5,FALSE),"")</f>
        <v>0</v>
      </c>
      <c r="FS4" s="75">
        <f ca="1">IF(FH4&lt;&gt;"",VLOOKUP(FH4,EI4:EP8,8,FALSE),"")</f>
        <v>0</v>
      </c>
      <c r="FT4" s="75">
        <f ca="1">IF(FH4&lt;&gt;"",VLOOKUP(FH4,EI4:EW8,15,FALSE),"")</f>
        <v>5</v>
      </c>
      <c r="FU4" s="75">
        <f ca="1">SUMPRODUCT((JC3:JC42=FH4)*(JF3:JF42=FH5)*JI3:JI42)+SUMPRODUCT((JC3:JC42=FH4)*(JF3:JF42=FH6)*JI3:JI42)+SUMPRODUCT((JC3:JC42=FH4)*(JF3:JF42=FH7)*JI3:JI42)+SUMPRODUCT((JC3:JC42=FH4)*(JF3:JF42=FH8)*JI3:JI42)+SUMPRODUCT((JC3:JC42=FH5)*(JF3:JF42=FH4)*JJ3:JJ42)+SUMPRODUCT((JC3:JC42=FH6)*(JF3:JF42=FH4)*JJ3:JJ42)+SUMPRODUCT((JC3:JC42=FH7)*(JF3:JF42=FH4)*JJ3:JJ42)+SUMPRODUCT((JC3:JC42=FH8)*(JF3:JF42=FH4)*JJ3:JJ42)</f>
        <v>0</v>
      </c>
      <c r="FV4" s="75">
        <f ca="1">SUMPRODUCT((JC3:JC42=FH4)*(JF3:JF42=FH5)*JK3:JK42)+SUMPRODUCT((JC3:JC42=FH4)*(JF3:JF42=FH6)*JK3:JK42)+SUMPRODUCT((JC3:JC42=FH4)*(JF3:JF42=FH7)*JK3:JK42)+SUMPRODUCT((JC3:JC42=FH4)*(JF3:JF42=FH8)*JK3:JK42)+SUMPRODUCT((JC3:JC42=FH5)*(JF3:JF42=FH4)*JL3:JL42)+SUMPRODUCT((JC3:JC42=FH6)*(JF3:JF42=FH4)*JL3:JL42)+SUMPRODUCT((JC3:JC42=FH7)*(JF3:JF42=FH4)*JL3:JL42)+SUMPRODUCT((JC3:JC42=FH8)*(JF3:JF42=FH4)*JL3:JL42)</f>
        <v>0</v>
      </c>
      <c r="FW4" s="75">
        <f ca="1">FI4*4+FJ4*2+FU4+FV4</f>
        <v>0</v>
      </c>
      <c r="FX4" s="75">
        <f ca="1">IF(FH4&lt;&gt;"",RANK(FW4,FW4:FW8),"")</f>
        <v>1</v>
      </c>
      <c r="FY4" s="75">
        <f ca="1">SUMPRODUCT((FW4:FW8=FW4)*(FN4:FN8&gt;FN4))</f>
        <v>0</v>
      </c>
      <c r="FZ4" s="75">
        <f ca="1">SUMPRODUCT((FW4:FW8=FW4)*(FN4:FN8=FN4)*(FQ4:FQ8&gt;FQ4))</f>
        <v>0</v>
      </c>
      <c r="GA4" s="75">
        <f ca="1">SUMPRODUCT((FW4:FW8=FW4)*(FN4:FN8=FN4)*(FQ4:FQ8=FQ4)*(FR4:FR8&gt;FR4))</f>
        <v>0</v>
      </c>
      <c r="GB4" s="75">
        <f ca="1">SUMPRODUCT((FW4:FW8=FW4)*(FN4:FN8=FN4)*(FQ4:FQ8=FQ4)*(FR4:FR8=FR4)*(FS4:FS8&gt;FS4))</f>
        <v>0</v>
      </c>
      <c r="GC4" s="75">
        <f ca="1">SUMPRODUCT((FW4:FW8=FW4)*(FN4:FN8=FN4)*(FQ4:FQ8=FQ4)*(FR4:FR8=FR4)*(FS4:FS8=FS4)*(FT4:FT8&gt;FT4))</f>
        <v>3</v>
      </c>
      <c r="GD4" s="75">
        <f ca="1">IF(FH4&lt;&gt;"",SUM(FX4:GC4),"")</f>
        <v>4</v>
      </c>
      <c r="GE4" s="75" t="str">
        <f ca="1">IF(FH4&lt;&gt;"",INDEX(FH4:FH8,MATCH(1,GD4:GD8,0),0),"")</f>
        <v>Uruguay</v>
      </c>
      <c r="IZ4" s="75" t="str">
        <f ca="1">IF(GE4&lt;&gt;"",GE4,FA4)</f>
        <v>Uruguay</v>
      </c>
      <c r="JA4" s="75">
        <v>1</v>
      </c>
      <c r="JB4" s="75">
        <v>2</v>
      </c>
      <c r="JC4" s="75" t="str">
        <f t="shared" ref="JC4:JC42" si="4">DV4</f>
        <v>Tonga</v>
      </c>
      <c r="JD4" s="75" t="str">
        <f ca="1">IF(OFFSET('Prediction Sheet'!$W14,0,JD$1)&lt;&gt;"",OFFSET('Prediction Sheet'!$W14,0,JD$1),"")</f>
        <v/>
      </c>
      <c r="JE4" s="75" t="str">
        <f ca="1">IF(OFFSET('Prediction Sheet'!$Y14,0,JD$1)&lt;&gt;"",OFFSET('Prediction Sheet'!$Y14,0,JD$1),"")</f>
        <v/>
      </c>
      <c r="JF4" s="75" t="str">
        <f t="shared" ref="JF4:JF42" si="5">DY4</f>
        <v>Georgia</v>
      </c>
      <c r="JG4" s="75" t="str">
        <f ca="1">IF(OFFSET('Prediction Sheet'!$AA14,0,JF$1)&lt;&gt;"",OFFSET('Prediction Sheet'!$AA14,0,JF$1),"")</f>
        <v/>
      </c>
      <c r="JH4" s="75" t="str">
        <f ca="1">IF(OFFSET('Prediction Sheet'!$AC14,0,JG$1)&lt;&gt;"",OFFSET('Prediction Sheet'!$AC14,0,JG$1),"")</f>
        <v/>
      </c>
      <c r="JI4" s="75">
        <f t="shared" ref="JI4:JI42" ca="1" si="6">IF(JD4&lt;&gt;"",IF(JG4&gt;3,1,0),0)</f>
        <v>0</v>
      </c>
      <c r="JJ4" s="75">
        <f t="shared" ref="JJ4:JJ42" ca="1" si="7">IF(JE4&lt;&gt;"",IF(JH4&gt;3,1,0),0)</f>
        <v>0</v>
      </c>
      <c r="JK4" s="75">
        <f t="shared" ref="JK4:JK42" ca="1" si="8">IFERROR(IF(AND(JD4&lt;&gt;"",JD4&lt;JE4,JE4-JD4&lt;8),1,0),0)</f>
        <v>0</v>
      </c>
      <c r="JL4" s="75">
        <f t="shared" ref="JL4:JL42" ca="1" si="9">IFERROR(IF(AND(JE4&lt;&gt;"",JE4&lt;JD4,JD4-JE4&lt;8),1,0),0)</f>
        <v>0</v>
      </c>
      <c r="JM4" s="75" t="str">
        <f t="shared" ref="JM4:JM42" ca="1" si="10">IF(AND(JD4&lt;&gt;"",JE4&lt;&gt;""),IF(JD4&gt;JE4,"W",IF(JD4=JE4,"D","L")),"")</f>
        <v/>
      </c>
      <c r="JN4" s="75" t="str">
        <f t="shared" ref="JN4:JN42" ca="1" si="11">IF(JM4&lt;&gt;"",IF(JM4="W","L",IF(JM4="L","W","D")),"")</f>
        <v/>
      </c>
    </row>
    <row r="5" spans="1:274" x14ac:dyDescent="0.2">
      <c r="A5" s="75">
        <f>VLOOKUP(B5,DS4:DT8,2,FALSE)</f>
        <v>5</v>
      </c>
      <c r="B5" s="75" t="s">
        <v>4</v>
      </c>
      <c r="C5" s="75">
        <f t="shared" ref="C5:C8" si="12">COUNTIFS($DV$3:$DV$42,B5,$EF$3:$EF$42,"W")+COUNTIFS($DY$3:$DY$42,B5,$EG$3:$EG$42,"W")</f>
        <v>0</v>
      </c>
      <c r="D5" s="75">
        <f t="shared" ref="D5:D8" si="13">COUNTIFS($DV$3:$DV$42,B5,$EF$3:$EF$42,"D")+COUNTIFS($DY$3:$DY$42,B5,$EG$3:$EG$42,"D")</f>
        <v>0</v>
      </c>
      <c r="E5" s="75">
        <f t="shared" ref="E5:E8" si="14">COUNTIFS($DV$3:$DV$42,B5,$EF$3:$EF$42,"L")+COUNTIFS($DY$3:$DY$42,B5,$EG$3:$EG$42,"L")</f>
        <v>0</v>
      </c>
      <c r="F5" s="75">
        <f>SUMIF($DV$3:$DV$60,B5,$DW$3:$DW$60)+SUMIF($DY$3:$DY$60,B5,$DX$3:$DX$60)</f>
        <v>0</v>
      </c>
      <c r="G5" s="75">
        <f>SUMIF($DY$3:$DY$60,B5,$DW$3:$DW$60)+SUMIF($DV$3:$DV$60,B5,$DX$3:$DX$60)</f>
        <v>0</v>
      </c>
      <c r="H5" s="75">
        <f t="shared" ref="H5:H8" si="15">F5-G5+1000</f>
        <v>1000</v>
      </c>
      <c r="I5" s="75">
        <f>SUMIF(Tournament!$H$13:$H$52,B5,Tournament!$O$13:$O$52)+SUMIF(Tournament!$N$13:$N$52,B5,Tournament!$Q$13:$Q$52)</f>
        <v>0</v>
      </c>
      <c r="J5" s="75">
        <f>SUMIF(Tournament!$N$13:$N$52,B5,Tournament!$O$13:$O$52)+SUMIF(Tournament!$H$13:$H$52,B5,Tournament!$Q$13:$Q$52)</f>
        <v>0</v>
      </c>
      <c r="K5" s="75">
        <f t="shared" ref="K5:K8" si="16">I5-J5+1000</f>
        <v>1000</v>
      </c>
      <c r="L5" s="75">
        <f t="shared" ref="L5:L8" si="17">C5*4+D5*2</f>
        <v>0</v>
      </c>
      <c r="M5" s="75">
        <f>SUMIF(DV:DV,B5,EB:EB)+SUMIF(DY:DY,B5,EC:EC)</f>
        <v>4</v>
      </c>
      <c r="N5" s="75">
        <f>SUMIF(DV:DV,B5,ED:ED)+SUMIF(DY:DY,B5,EE:EE)</f>
        <v>0</v>
      </c>
      <c r="O5" s="75">
        <f t="shared" ref="O5:O8" si="18">N5+M5+L5</f>
        <v>4</v>
      </c>
      <c r="P5" s="75">
        <v>4</v>
      </c>
      <c r="Q5" s="75">
        <f t="shared" ref="Q5:Q8" si="19">RANK(O5,O$4:O$8)</f>
        <v>1</v>
      </c>
      <c r="S5" s="75">
        <f>RANK(O5,$O$4:$O$8)+COUNTIF($O$4:O5,O5)-1</f>
        <v>2</v>
      </c>
      <c r="T5" s="75" t="str">
        <f>INDEX($B$4:$B$8,MATCH(2,$S$4:$S$8,0),0)</f>
        <v>England</v>
      </c>
      <c r="U5" s="75">
        <f t="shared" ref="U5:U8" si="20">INDEX($Q$4:$Q$8,MATCH(T5,$B$4:$B$8,0),0)</f>
        <v>1</v>
      </c>
      <c r="V5" s="75" t="str">
        <f>IF(V4&lt;&gt;"",T5,"")</f>
        <v>England</v>
      </c>
      <c r="W5" s="75" t="str">
        <f>IF(W4&lt;&gt;"",T6,"")</f>
        <v/>
      </c>
      <c r="X5" s="75" t="str">
        <f>IF(X4&lt;&gt;"",T7,"")</f>
        <v/>
      </c>
      <c r="Y5" s="75" t="str">
        <f>IF(Y4&lt;&gt;"",T8,"")</f>
        <v/>
      </c>
      <c r="AA5" s="75" t="str">
        <f t="shared" ref="AA5:AA8" si="21">IF(V5&lt;&gt;"",V5,"")</f>
        <v>England</v>
      </c>
      <c r="AB5" s="75">
        <f>SUMPRODUCT((DV3:DV42=AA5)*(DY3:DY42=AA6)*(EF3:EF42="W"))+SUMPRODUCT((DV3:DV42=AA5)*(DY3:DY42=AA7)*(EF3:EF42="W"))+SUMPRODUCT((DV3:DV42=AA5)*(DY3:DY42=AA8)*(EF3:EF42="W"))+SUMPRODUCT((DV3:DV42=AA5)*(DY3:DY42=AA4)*(EF3:EF42="W"))+SUMPRODUCT((DV3:DV42=AA6)*(DY3:DY42=AA5)*(EG3:EG42="W"))+SUMPRODUCT((DV3:DV42=AA7)*(DY3:DY42=AA5)*(EG3:EG42="W"))+SUMPRODUCT((DV3:DV42=AA8)*(DY3:DY42=AA5)*(EG3:EG42="W"))+SUMPRODUCT((DV3:DV42=AA4)*(DY3:DY42=AA5)*(EG3:EG42="W"))</f>
        <v>0</v>
      </c>
      <c r="AC5" s="75">
        <f>SUMPRODUCT((DV3:DV42=AA5)*(DY3:DY42=AA6)*(EF3:EF42="D"))+SUMPRODUCT((DV3:DV42=AA5)*(DY3:DY42=AA7)*(EF3:EF42="D"))+SUMPRODUCT((DV3:DV42=AA5)*(DY3:DY42=AA8)*(EF3:EF42="D"))+SUMPRODUCT((DV3:DV42=AA5)*(DY3:DY42=AA4)*(EF3:EF42="D"))+SUMPRODUCT((DV3:DV42=AA6)*(DY3:DY42=AA5)*(EF3:EF42="D"))+SUMPRODUCT((DV3:DV42=AA7)*(DY3:DY42=AA5)*(EF3:EF42="D"))+SUMPRODUCT((DV3:DV42=AA8)*(DY3:DY42=AA5)*(EF3:EF42="D"))+SUMPRODUCT((DV3:DV42=AA4)*(DY3:DY42=AA5)*(EF3:EF42="D"))</f>
        <v>0</v>
      </c>
      <c r="AD5" s="75">
        <f>SUMPRODUCT((DV3:DV42=AA5)*(DY3:DY42=AA6)*(EF3:EF42="L"))+SUMPRODUCT((DV3:DV42=AA5)*(DY3:DY42=AA7)*(EF3:EF42="L"))+SUMPRODUCT((DV3:DV42=AA5)*(DY3:DY42=AA8)*(EF3:EF42="L"))+SUMPRODUCT((DV3:DV42=AA5)*(DY3:DY42=AA4)*(EF3:EF42="L"))+SUMPRODUCT((DV3:DV42=AA6)*(DY3:DY42=AA5)*(EG3:EG42="L"))+SUMPRODUCT((DV3:DV42=AA7)*(DY3:DY42=AA5)*(EG3:EG42="L"))+SUMPRODUCT((DV3:DV42=AA8)*(DY3:DY42=AA5)*(EG3:EG42="L"))+SUMPRODUCT((DV3:DV42=AA4)*(DY3:DY42=AA5)*(EG3:EG42="L"))</f>
        <v>0</v>
      </c>
      <c r="AE5" s="75">
        <f>IF(AA5&lt;&gt;"",VLOOKUP(AA5,B4:F29,5,FALSE),0)</f>
        <v>0</v>
      </c>
      <c r="AF5" s="75">
        <f>IF(AA5&lt;&gt;"",VLOOKUP(AA5,B4:G29,6,FALSE),0)</f>
        <v>0</v>
      </c>
      <c r="AG5" s="75">
        <f>AE5-AF5+1000</f>
        <v>1000</v>
      </c>
      <c r="AH5" s="75">
        <f>IF(AA5&lt;&gt;"",VLOOKUP(AA5,B4:I29,8,FALSE),0)</f>
        <v>0</v>
      </c>
      <c r="AI5" s="75">
        <f>IF(AA5&lt;&gt;"",VLOOKUP(AA5,B4:J29,9,FALSE),0)</f>
        <v>0</v>
      </c>
      <c r="AJ5" s="75">
        <f>AH5-AI5+1000</f>
        <v>1000</v>
      </c>
      <c r="AK5" s="75">
        <f>IF(AA5&lt;&gt;"",VLOOKUP(AA5,B4:F8,5,FALSE),"")</f>
        <v>0</v>
      </c>
      <c r="AL5" s="75">
        <f>IF(AA5&lt;&gt;"",VLOOKUP(AA5,B4:I8,8,FALSE),"")</f>
        <v>0</v>
      </c>
      <c r="AM5" s="75">
        <f>IF(AA5&lt;&gt;"",VLOOKUP(AA5,B4:P8,15,FALSE),"")</f>
        <v>4</v>
      </c>
      <c r="AN5" s="75">
        <f>SUMPRODUCT((DV3:DV42=AA5)*(DY3:DY42=AA6)*EB3:EB42)+SUMPRODUCT((DV3:DV42=AA5)*(DY3:DY42=AA7)*EB3:EB42)+SUMPRODUCT((DV3:DV42=AA5)*(DY3:DY42=AA8)*EB3:EB42)+SUMPRODUCT((DV3:DV42=AA5)*(DY3:DY42=AA4)*EB3:EB42)+SUMPRODUCT((DV3:DV42=AA6)*(DY3:DY42=AA5)*EC3:EC42)+SUMPRODUCT((DV3:DV42=AA7)*(DY3:DY42=AA5)*EC3:EC42)+SUMPRODUCT((DV3:DV42=AA8)*(DY3:DY42=AA5)*EC3:EC42)+SUMPRODUCT((DV3:DV42=AA4)*(DY3:DY42=AA5)*EC3:EC42)</f>
        <v>4</v>
      </c>
      <c r="AO5" s="75">
        <f>SUMPRODUCT((DV3:DV42=AA5)*(DY3:DY42=AA6)*ED3:ED42)+SUMPRODUCT((DV3:DV42=AA5)*(DY3:DY42=AA7)*ED3:ED42)+SUMPRODUCT((DV3:DV42=AA5)*(DY3:DY42=AA8)*ED3:ED42)+SUMPRODUCT((DV3:DV42=AA5)*(DY3:DY42=AA4)*ED3:ED42)+SUMPRODUCT((DV3:DV42=AA6)*(DY3:DY42=AA5)*EE3:EE42)+SUMPRODUCT((DV3:DV42=AA7)*(DY3:DY42=AA5)*EE3:EE42)+SUMPRODUCT((DV3:DV42=AA8)*(DY3:DY42=AA5)*EE3:EE42)+SUMPRODUCT((DV3:DV42=AA4)*(DY3:DY42=AA5)*EE3:EE42)</f>
        <v>0</v>
      </c>
      <c r="AP5" s="75">
        <f>AB5*4+AC5*2+AN5+AO5</f>
        <v>4</v>
      </c>
      <c r="AQ5" s="75">
        <f>IF(AA5&lt;&gt;"",RANK(AP5,AP4:AP8),"")</f>
        <v>1</v>
      </c>
      <c r="AR5" s="75">
        <f>SUMPRODUCT((AP4:AP8=AP5)*(AG4:AG8&gt;AG5))</f>
        <v>0</v>
      </c>
      <c r="AS5" s="75">
        <f>SUMPRODUCT((AP4:AP8=AP5)*(AG4:AG8=AG5)*(AJ4:AJ8&gt;AJ5))</f>
        <v>0</v>
      </c>
      <c r="AT5" s="75">
        <f>SUMPRODUCT((AP4:AP8=AP5)*(AG4:AG8=AG5)*(AJ4:AJ8=AJ5)*(AK4:AK8&gt;AK5))</f>
        <v>0</v>
      </c>
      <c r="AU5" s="75">
        <f>SUMPRODUCT((AP4:AP8=AP5)*(AG4:AG8=AG5)*(AJ4:AJ8=AJ5)*(AK4:AK8=AK5)*(AL4:AL8&gt;AL5))</f>
        <v>0</v>
      </c>
      <c r="AV5" s="75">
        <f>SUMPRODUCT((AP4:AP8=AP5)*(AG4:AG8=AG5)*(AJ4:AJ8=AJ5)*(AK4:AK8=AK5)*(AL4:AL8=AL5)*(AM4:AM8&gt;AM5))</f>
        <v>4</v>
      </c>
      <c r="AW5" s="75">
        <f t="shared" ref="AW5:AW8" si="22">IF(AA5&lt;&gt;"",SUM(AQ5:AV5),"")</f>
        <v>5</v>
      </c>
      <c r="AX5" s="75" t="str">
        <f>IF(AA5&lt;&gt;"",INDEX(AA4:AA8,MATCH(2,AW4:AW8,0),0),"")</f>
        <v>Fiji</v>
      </c>
      <c r="AY5" s="75" t="str">
        <f>IF(W4&lt;&gt;"",W4,"")</f>
        <v/>
      </c>
      <c r="AZ5" s="75">
        <f>SUMPRODUCT((DV3:DV42=AY5)*(DY3:DY42=AY6)*(EF3:EF42="W"))+SUMPRODUCT((DV3:DV42=AY5)*(DY3:DY42=AY7)*(EF3:EF42="W"))+SUMPRODUCT((DV3:DV42=AY5)*(DY3:DY42=AY8)*(EF3:EF42="W"))+SUMPRODUCT((DV3:DV42=AY6)*(DY3:DY42=AY5)*(EG3:EG42="W"))+SUMPRODUCT((DV3:DV42=AY7)*(DY3:DY42=AY5)*(EG3:EG42="W"))+SUMPRODUCT((DV3:DV42=AY8)*(DY3:DY42=AY5)*(EG3:EG42="W"))</f>
        <v>0</v>
      </c>
      <c r="BA5" s="75">
        <f>SUMPRODUCT((DV3:DV42=AY5)*(DY3:DY42=AY6)*(EF3:EF42="D"))+SUMPRODUCT((DV3:DV42=AY5)*(DY3:DY42=AY7)*(EF3:EF42="D"))+SUMPRODUCT((DV3:DV42=AY5)*(DY3:DY42=AY8)*(EF3:EF42="D"))+SUMPRODUCT((DV3:DV42=AY6)*(DY3:DY42=AY5)*(EF3:EF42="D"))+SUMPRODUCT((DV3:DV42=AY7)*(DY3:DY42=AY5)*(EF3:EF42="D"))+SUMPRODUCT((DV3:DV42=AY8)*(DY3:DY42=AY5)*(EF3:EF42="D"))</f>
        <v>0</v>
      </c>
      <c r="BB5" s="75">
        <f>SUMPRODUCT((DV3:DV42=AY5)*(DY3:DY42=AY6)*(EF3:EF42="L"))+SUMPRODUCT((DV3:DV42=AY5)*(DY3:DY42=AY7)*(EF3:EF42="L"))+SUMPRODUCT((DV3:DV42=AY5)*(DY3:DY42=AY8)*(EF3:EF42="L"))+SUMPRODUCT((DV3:DV42=AY6)*(DY3:DY42=AY5)*(EG3:EG42="L"))+SUMPRODUCT((DV3:DV42=AY7)*(DY3:DY42=AY5)*(EG3:EG42="L"))+SUMPRODUCT((DV3:DV42=AY8)*(DY3:DY42=AY5)*(EG3:EG42="L"))</f>
        <v>0</v>
      </c>
      <c r="BC5" s="75">
        <f>IF(AY5&lt;&gt;"",VLOOKUP(AY5,B4:F29,5,FALSE),0)</f>
        <v>0</v>
      </c>
      <c r="BD5" s="75">
        <f>IF(AY5&lt;&gt;"",VLOOKUP(AY5,B4:G29,6,FALSE),0)</f>
        <v>0</v>
      </c>
      <c r="BE5" s="75">
        <f>BC5-BD5+1000</f>
        <v>1000</v>
      </c>
      <c r="BF5" s="75">
        <f>IF(AY5&lt;&gt;"",VLOOKUP(AY5,B4:I29,8,FALSE),0)</f>
        <v>0</v>
      </c>
      <c r="BG5" s="75">
        <f>IF(AY5&lt;&gt;"",VLOOKUP(AY5,B4:J29,9,FALSE),0)</f>
        <v>0</v>
      </c>
      <c r="BH5" s="75">
        <f>BF5-BG5+1000</f>
        <v>1000</v>
      </c>
      <c r="BI5" s="75" t="str">
        <f>IF(AY5&lt;&gt;"",VLOOKUP(AY5,B4:F8,5,FALSE),"")</f>
        <v/>
      </c>
      <c r="BJ5" s="75" t="str">
        <f>IF(AY5&lt;&gt;"",VLOOKUP(AY5,B4:I8,8,FALSE),"")</f>
        <v/>
      </c>
      <c r="BK5" s="75" t="str">
        <f>IF(AY5&lt;&gt;"",VLOOKUP(AY5,B4:P8,15,FALSE),"")</f>
        <v/>
      </c>
      <c r="BL5" s="75">
        <f>SUMPRODUCT((DV3:DV42=AY5)*(DY3:DY42=AY6)*EB3:EB42)+SUMPRODUCT((DV3:DV42=AY5)*(DY3:DY42=AY7)*EB3:EB42)+SUMPRODUCT((DV3:DV42=AY5)*(DY3:DY42=AY8)*EB3:EB42)+SUMPRODUCT((DV3:DV42=AY6)*(DY3:DY42=AY5)*EC3:EC42)+SUMPRODUCT((DV3:DV42=AY7)*(DY3:DY42=AY5)*EC3:EC42)+SUMPRODUCT((DV3:DV42=AY8)*(DY3:DY42=AY5)*EC3:EC42)</f>
        <v>0</v>
      </c>
      <c r="BM5" s="75">
        <f>SUMPRODUCT((DV3:DV42=AY5)*(DY3:DY42=AY6)*ED3:ED42)+SUMPRODUCT((DV3:DV42=AY5)*(DY3:DY42=AY7)*ED3:ED42)+SUMPRODUCT((DV3:DV42=AY5)*(DY3:DY42=AY8)*ED3:ED42)+SUMPRODUCT((DV3:DV42=AY6)*(DY3:DY42=AY5)*EE3:EE42)+SUMPRODUCT((DV3:DV42=AY7)*(DY3:DY42=AY5)*EE3:EE42)+SUMPRODUCT((DV3:DV42=AY8)*(DY3:DY42=AY5)*EE3:EE42)</f>
        <v>0</v>
      </c>
      <c r="BN5" s="75">
        <f>AZ5*4+BA5*2+BL5+BM5</f>
        <v>0</v>
      </c>
      <c r="BO5" s="75" t="str">
        <f>IF(AY5&lt;&gt;"",RANK(BN5,BN5:BN8),"")</f>
        <v/>
      </c>
      <c r="BP5" s="75">
        <f>SUMPRODUCT((BN5:BN8=BN5)*(BE5:BE8&gt;BE5))</f>
        <v>0</v>
      </c>
      <c r="BQ5" s="75">
        <f>SUMPRODUCT((BN5:BN8=BN5)*(BE5:BE8=BE5)*(BH5:BH8&gt;BH5))</f>
        <v>0</v>
      </c>
      <c r="BR5" s="75">
        <f>SUMPRODUCT((BN4:BN8=BN5)*(BE4:BE8=BE5)*(BH4:BH8=BH5)*(BI4:BI8&gt;BI5))</f>
        <v>0</v>
      </c>
      <c r="BS5" s="75">
        <f>SUMPRODUCT((BN4:BN8=BN5)*(BE4:BE8=BE5)*(BH4:BH8=BH5)*(BI4:BI8=BI5)*(BJ4:BJ8&gt;BJ5))</f>
        <v>0</v>
      </c>
      <c r="BT5" s="75">
        <f>SUMPRODUCT((BN4:BN8=BN5)*(BE4:BE8=BE5)*(BH4:BH8=BH5)*(BI4:BI8=BI5)*(BJ4:BJ8=BJ5)*(BK4:BK8&gt;BK5))</f>
        <v>0</v>
      </c>
      <c r="BU5" s="75" t="str">
        <f>IF(AY5&lt;&gt;"",SUM(BO5:BT5)+1,"")</f>
        <v/>
      </c>
      <c r="BV5" s="75" t="str">
        <f>IF(AY5&lt;&gt;"",INDEX(AY5:AY8,MATCH(2,BU5:BU8,0),0),"")</f>
        <v/>
      </c>
      <c r="DS5" s="75" t="str">
        <f>IF(BV5&lt;&gt;"",BV5,IF(AX5&lt;&gt;"",AX5,T5))</f>
        <v>Fiji</v>
      </c>
      <c r="DT5" s="75">
        <v>2</v>
      </c>
      <c r="DU5" s="75">
        <v>3</v>
      </c>
      <c r="DV5" s="75" t="str">
        <f>Tournament!H15</f>
        <v>Ireland</v>
      </c>
      <c r="DW5" s="75">
        <f>IF(AND(Tournament!J15&lt;&gt;"",Tournament!L15&lt;&gt;""),Tournament!J15,0)</f>
        <v>0</v>
      </c>
      <c r="DX5" s="75">
        <f>IF(AND(Tournament!L15&lt;&gt;"",Tournament!J15&lt;&gt;""),Tournament!L15,0)</f>
        <v>0</v>
      </c>
      <c r="DY5" s="75" t="str">
        <f>Tournament!N15</f>
        <v>Canada</v>
      </c>
      <c r="DZ5" s="75">
        <f>IF(Tournament!O15&lt;&gt;"",Tournament!O15,0)</f>
        <v>0</v>
      </c>
      <c r="EA5" s="75">
        <f>IF(Tournament!Q15&lt;&gt;"",Tournament!Q15,0)</f>
        <v>0</v>
      </c>
      <c r="EB5" s="75">
        <f>IF(DW5&lt;&gt;"",IF(Tournament!O15&gt;3,1,0),0)</f>
        <v>1</v>
      </c>
      <c r="EC5" s="75">
        <f>IF(DX5&lt;&gt;"",IF(Tournament!Q15&gt;3,1,0),0)</f>
        <v>1</v>
      </c>
      <c r="ED5" s="75">
        <f t="shared" si="1"/>
        <v>0</v>
      </c>
      <c r="EE5" s="75">
        <f t="shared" si="2"/>
        <v>0</v>
      </c>
      <c r="EF5" s="75" t="str">
        <f>IF(AND(Tournament!J15&lt;&gt;"",Tournament!L15&lt;&gt;""),IF(DW5&gt;DX5,"W",IF(DW5=DX5,"D","L")),"")</f>
        <v/>
      </c>
      <c r="EG5" s="75" t="str">
        <f t="shared" si="3"/>
        <v/>
      </c>
      <c r="EH5" s="75">
        <f ca="1">VLOOKUP(EI5,IZ4:JA8,2,FALSE)</f>
        <v>5</v>
      </c>
      <c r="EI5" s="75" t="s">
        <v>4</v>
      </c>
      <c r="EJ5" s="75">
        <f t="shared" ref="EJ5:EJ8" ca="1" si="23">COUNTIFS(JC$3:JC$42,EI5,JM$3:JM$42,"W")+COUNTIFS(JF$3:JF$42,EI5,JN$3:JN$42,"W")</f>
        <v>0</v>
      </c>
      <c r="EK5" s="75">
        <f t="shared" ref="EK5:EK8" ca="1" si="24">COUNTIFS(JC$3:JC$42,EI5,JM$3:JM$42,"D")+COUNTIFS(JF$3:JF$42,EI5,JN$3:JN$42,"D")</f>
        <v>0</v>
      </c>
      <c r="EL5" s="75">
        <f t="shared" ref="EL5:EL8" ca="1" si="25">COUNTIFS(JC$3:JC$42,EI5,JM$3:JM$42,"L")+COUNTIFS(JF$3:JF$42,EI5,JN$3:JN$42,"L")</f>
        <v>0</v>
      </c>
      <c r="EM5" s="75">
        <f t="shared" ref="EM5:EM8" ca="1" si="26">SUMIF(JC$3:JC$60,EI5,JD$3:JD$60)+SUMIF(JF$3:JF$60,EI5,JE$3:JE$60)</f>
        <v>0</v>
      </c>
      <c r="EN5" s="75">
        <f t="shared" ref="EN5:EN8" ca="1" si="27">SUMIF(JF$3:JF$60,EI5,JD$3:JD$60)+SUMIF(JC$3:JC$60,EI5,JE$3:JE$60)</f>
        <v>0</v>
      </c>
      <c r="EO5" s="75">
        <f t="shared" ref="EO5:EO8" ca="1" si="28">EM5-EN5+1000</f>
        <v>1000</v>
      </c>
      <c r="EP5" s="75">
        <f t="shared" ref="EP5:EP8" ca="1" si="29">SUMIF(JC:JC,EI5,JG:JG)+SUMIF(JF:JF,EI5,JH:JH)</f>
        <v>0</v>
      </c>
      <c r="EQ5" s="75">
        <f t="shared" ref="EQ5:EQ8" ca="1" si="30">SUMIF(JF:JF,EI5,JG:JG)+SUMIF(JC:JC,EI5,JH:JH)</f>
        <v>0</v>
      </c>
      <c r="ER5" s="75">
        <f t="shared" ref="ER5:ER8" ca="1" si="31">EP5-EQ5+1000</f>
        <v>1000</v>
      </c>
      <c r="ES5" s="75">
        <f t="shared" ref="ES5:ES8" ca="1" si="32">EJ5*4+EK5*2</f>
        <v>0</v>
      </c>
      <c r="ET5" s="75">
        <f ca="1">SUMIF(JC:JC,EI5,JI:JI)+SUMIF(JF:JF,EI5,JJ:JJ)</f>
        <v>0</v>
      </c>
      <c r="EU5" s="75">
        <f ca="1">SUMIF(JC:JC,EI5,JK:JK)+SUMIF(JF:JF,EI5,JL:JL)</f>
        <v>0</v>
      </c>
      <c r="EV5" s="75">
        <f t="shared" ref="EV5:EV8" ca="1" si="33">EU5+ET5+ES5</f>
        <v>0</v>
      </c>
      <c r="EW5" s="75">
        <v>4</v>
      </c>
      <c r="EX5" s="75">
        <f t="shared" ref="EX5:EX8" ca="1" si="34">RANK(EV5,EV$4:EV$8)</f>
        <v>1</v>
      </c>
      <c r="EZ5" s="75">
        <f ca="1">RANK(EV5,EV$4:EV$8)+COUNTIF(EV$4:EV5,EV5)-1</f>
        <v>2</v>
      </c>
      <c r="FA5" s="75" t="str">
        <f ca="1">INDEX(EI$4:EI$8,MATCH(2,EZ$4:EZ$8,0),0)</f>
        <v>England</v>
      </c>
      <c r="FB5" s="75">
        <f t="shared" ref="FB5:FB8" ca="1" si="35">INDEX(EX$4:EX$8,MATCH(FA5,EI$4:EI$8,0),0)</f>
        <v>1</v>
      </c>
      <c r="FC5" s="75" t="str">
        <f ca="1">IF(FC4&lt;&gt;"",FA5,"")</f>
        <v>England</v>
      </c>
      <c r="FD5" s="75" t="str">
        <f ca="1">IF(FD4&lt;&gt;"",FA6,"")</f>
        <v/>
      </c>
      <c r="FE5" s="75" t="str">
        <f ca="1">IF(FE4&lt;&gt;"",FA7,"")</f>
        <v/>
      </c>
      <c r="FF5" s="75" t="str">
        <f ca="1">IF(FF4&lt;&gt;"",FA8,"")</f>
        <v/>
      </c>
      <c r="FH5" s="75" t="str">
        <f t="shared" ref="FH5:FH8" ca="1" si="36">IF(FC5&lt;&gt;"",FC5,"")</f>
        <v>England</v>
      </c>
      <c r="FI5" s="75">
        <f ca="1">SUMPRODUCT((JC3:JC42=FH5)*(JF3:JF42=FH6)*(JM3:JM42="W"))+SUMPRODUCT((JC3:JC42=FH5)*(JF3:JF42=FH7)*(JM3:JM42="W"))+SUMPRODUCT((JC3:JC42=FH5)*(JF3:JF42=FH8)*(JM3:JM42="W"))+SUMPRODUCT((JC3:JC42=FH5)*(JF3:JF42=FH4)*(JM3:JM42="W"))+SUMPRODUCT((JC3:JC42=FH6)*(JF3:JF42=FH5)*(JN3:JN42="W"))+SUMPRODUCT((JC3:JC42=FH7)*(JF3:JF42=FH5)*(JN3:JN42="W"))+SUMPRODUCT((JC3:JC42=FH8)*(JF3:JF42=FH5)*(JN3:JN42="W"))+SUMPRODUCT((JC3:JC42=FH4)*(JF3:JF42=FH5)*(JN3:JN42="W"))</f>
        <v>0</v>
      </c>
      <c r="FJ5" s="75">
        <f ca="1">SUMPRODUCT((JC3:JC42=FH5)*(JF3:JF42=FH6)*(JM3:JM42="D"))+SUMPRODUCT((JC3:JC42=FH5)*(JF3:JF42=FH7)*(JM3:JM42="D"))+SUMPRODUCT((JC3:JC42=FH5)*(JF3:JF42=FH8)*(JM3:JM42="D"))+SUMPRODUCT((JC3:JC42=FH5)*(JF3:JF42=FH4)*(JM3:JM42="D"))+SUMPRODUCT((JC3:JC42=FH6)*(JF3:JF42=FH5)*(JM3:JM42="D"))+SUMPRODUCT((JC3:JC42=FH7)*(JF3:JF42=FH5)*(JM3:JM42="D"))+SUMPRODUCT((JC3:JC42=FH8)*(JF3:JF42=FH5)*(JM3:JM42="D"))+SUMPRODUCT((JC3:JC42=FH4)*(JF3:JF42=FH5)*(JM3:JM42="D"))</f>
        <v>0</v>
      </c>
      <c r="FK5" s="75">
        <f ca="1">SUMPRODUCT((JC3:JC42=FH5)*(JF3:JF42=FH6)*(JM3:JM42="L"))+SUMPRODUCT((JC3:JC42=FH5)*(JF3:JF42=FH7)*(JM3:JM42="L"))+SUMPRODUCT((JC3:JC42=FH5)*(JF3:JF42=FH8)*(JM3:JM42="L"))+SUMPRODUCT((JC3:JC42=FH5)*(JF3:JF42=FH4)*(JM3:JM42="L"))+SUMPRODUCT((JC3:JC42=FH6)*(JF3:JF42=FH5)*(JN3:JN42="L"))+SUMPRODUCT((JC3:JC42=FH7)*(JF3:JF42=FH5)*(JN3:JN42="L"))+SUMPRODUCT((JC3:JC42=FH8)*(JF3:JF42=FH5)*(JN3:JN42="L"))+SUMPRODUCT((JC3:JC42=FH4)*(JF3:JF42=FH5)*(JN3:JN42="L"))</f>
        <v>0</v>
      </c>
      <c r="FL5" s="75">
        <f ca="1">IF(FH5&lt;&gt;"",VLOOKUP(FH5,EI4:EM29,5,FALSE),0)</f>
        <v>0</v>
      </c>
      <c r="FM5" s="75">
        <f ca="1">IF(FH5&lt;&gt;"",VLOOKUP(FH5,EI4:EN29,6,FALSE),0)</f>
        <v>0</v>
      </c>
      <c r="FN5" s="75">
        <f ca="1">FL5-FM5+1000</f>
        <v>1000</v>
      </c>
      <c r="FO5" s="75">
        <f ca="1">IF(FH5&lt;&gt;"",VLOOKUP(FH5,EI4:EP29,8,FALSE),0)</f>
        <v>0</v>
      </c>
      <c r="FP5" s="75">
        <f ca="1">IF(FH5&lt;&gt;"",VLOOKUP(FH5,EI4:EQ29,9,FALSE),0)</f>
        <v>0</v>
      </c>
      <c r="FQ5" s="75">
        <f ca="1">FO5-FP5+1000</f>
        <v>1000</v>
      </c>
      <c r="FR5" s="75">
        <f ca="1">IF(FH5&lt;&gt;"",VLOOKUP(FH5,EI4:EM8,5,FALSE),"")</f>
        <v>0</v>
      </c>
      <c r="FS5" s="75">
        <f ca="1">IF(FH5&lt;&gt;"",VLOOKUP(FH5,EI4:EP8,8,FALSE),"")</f>
        <v>0</v>
      </c>
      <c r="FT5" s="75">
        <f ca="1">IF(FH5&lt;&gt;"",VLOOKUP(FH5,EI4:EW8,15,FALSE),"")</f>
        <v>4</v>
      </c>
      <c r="FU5" s="75">
        <f ca="1">SUMPRODUCT((JC3:JC42=FH5)*(JF3:JF42=FH6)*JI3:JI42)+SUMPRODUCT((JC3:JC42=FH5)*(JF3:JF42=FH7)*JI3:JI42)+SUMPRODUCT((JC3:JC42=FH5)*(JF3:JF42=FH8)*JI3:JI42)+SUMPRODUCT((JC3:JC42=FH5)*(JF3:JF42=FH4)*JI3:JI42)+SUMPRODUCT((JC3:JC42=FH6)*(JF3:JF42=FH5)*JJ3:JJ42)+SUMPRODUCT((JC3:JC42=FH7)*(JF3:JF42=FH5)*JJ3:JJ42)+SUMPRODUCT((JC3:JC42=FH8)*(JF3:JF42=FH5)*JJ3:JJ42)+SUMPRODUCT((JC3:JC42=FH4)*(JF3:JF42=FH5)*JJ3:JJ42)</f>
        <v>0</v>
      </c>
      <c r="FV5" s="75">
        <f ca="1">SUMPRODUCT((JC3:JC42=FH5)*(JF3:JF42=FH6)*JK3:JK42)+SUMPRODUCT((JC3:JC42=FH5)*(JF3:JF42=FH7)*JK3:JK42)+SUMPRODUCT((JC3:JC42=FH5)*(JF3:JF42=FH8)*JK3:JK42)+SUMPRODUCT((JC3:JC42=FH5)*(JF3:JF42=FH4)*JK3:JK42)+SUMPRODUCT((JC3:JC42=FH6)*(JF3:JF42=FH5)*JL3:JL42)+SUMPRODUCT((JC3:JC42=FH7)*(JF3:JF42=FH5)*JL3:JL42)+SUMPRODUCT((JC3:JC42=FH8)*(JF3:JF42=FH5)*JL3:JL42)+SUMPRODUCT((JC3:JC42=FH4)*(JF3:JF42=FH5)*JL3:JL42)</f>
        <v>0</v>
      </c>
      <c r="FW5" s="75">
        <f ca="1">FI5*4+FJ5*2+FU5+FV5</f>
        <v>0</v>
      </c>
      <c r="FX5" s="75">
        <f ca="1">IF(FH5&lt;&gt;"",RANK(FW5,FW4:FW8),"")</f>
        <v>1</v>
      </c>
      <c r="FY5" s="75">
        <f ca="1">SUMPRODUCT((FW4:FW8=FW5)*(FN4:FN8&gt;FN5))</f>
        <v>0</v>
      </c>
      <c r="FZ5" s="75">
        <f ca="1">SUMPRODUCT((FW4:FW8=FW5)*(FN4:FN8=FN5)*(FQ4:FQ8&gt;FQ5))</f>
        <v>0</v>
      </c>
      <c r="GA5" s="75">
        <f ca="1">SUMPRODUCT((FW4:FW8=FW5)*(FN4:FN8=FN5)*(FQ4:FQ8=FQ5)*(FR4:FR8&gt;FR5))</f>
        <v>0</v>
      </c>
      <c r="GB5" s="75">
        <f ca="1">SUMPRODUCT((FW4:FW8=FW5)*(FN4:FN8=FN5)*(FQ4:FQ8=FQ5)*(FR4:FR8=FR5)*(FS4:FS8&gt;FS5))</f>
        <v>0</v>
      </c>
      <c r="GC5" s="75">
        <f ca="1">SUMPRODUCT((FW4:FW8=FW5)*(FN4:FN8=FN5)*(FQ4:FQ8=FQ5)*(FR4:FR8=FR5)*(FS4:FS8=FS5)*(FT4:FT8&gt;FT5))</f>
        <v>4</v>
      </c>
      <c r="GD5" s="75">
        <f t="shared" ref="GD5:GD8" ca="1" si="37">IF(FH5&lt;&gt;"",SUM(FX5:GC5),"")</f>
        <v>5</v>
      </c>
      <c r="GE5" s="75" t="str">
        <f ca="1">IF(FH5&lt;&gt;"",INDEX(FH4:FH8,MATCH(2,GD4:GD8,0),0),"")</f>
        <v>Fiji</v>
      </c>
      <c r="GF5" s="75" t="str">
        <f ca="1">IF(FD4&lt;&gt;"",FD4,"")</f>
        <v/>
      </c>
      <c r="GG5" s="75">
        <f ca="1">SUMPRODUCT((JC3:JC42=GF5)*(JF3:JF42=GF6)*(JM3:JM42="W"))+SUMPRODUCT((JC3:JC42=GF5)*(JF3:JF42=GF7)*(JM3:JM42="W"))+SUMPRODUCT((JC3:JC42=GF5)*(JF3:JF42=GF8)*(JM3:JM42="W"))+SUMPRODUCT((JC3:JC42=GF6)*(JF3:JF42=GF5)*(JN3:JN42="W"))+SUMPRODUCT((JC3:JC42=GF7)*(JF3:JF42=GF5)*(JN3:JN42="W"))+SUMPRODUCT((JC3:JC42=GF8)*(JF3:JF42=GF5)*(JN3:JN42="W"))</f>
        <v>0</v>
      </c>
      <c r="GH5" s="75">
        <f ca="1">SUMPRODUCT((JC3:JC42=GF5)*(JF3:JF42=GF6)*(JM3:JM42="D"))+SUMPRODUCT((JC3:JC42=GF5)*(JF3:JF42=GF7)*(JM3:JM42="D"))+SUMPRODUCT((JC3:JC42=GF5)*(JF3:JF42=GF8)*(JM3:JM42="D"))+SUMPRODUCT((JC3:JC42=GF6)*(JF3:JF42=GF5)*(JM3:JM42="D"))+SUMPRODUCT((JC3:JC42=GF7)*(JF3:JF42=GF5)*(JM3:JM42="D"))+SUMPRODUCT((JC3:JC42=GF8)*(JF3:JF42=GF5)*(JM3:JM42="D"))</f>
        <v>0</v>
      </c>
      <c r="GI5" s="75">
        <f ca="1">SUMPRODUCT((JC3:JC42=GF5)*(JF3:JF42=GF6)*(JM3:JM42="L"))+SUMPRODUCT((JC3:JC42=GF5)*(JF3:JF42=GF7)*(JM3:JM42="L"))+SUMPRODUCT((JC3:JC42=GF5)*(JF3:JF42=GF8)*(JM3:JM42="L"))+SUMPRODUCT((JC3:JC42=GF6)*(JF3:JF42=GF5)*(JN3:JN42="L"))+SUMPRODUCT((JC3:JC42=GF7)*(JF3:JF42=GF5)*(JN3:JN42="L"))+SUMPRODUCT((JC3:JC42=GF8)*(JF3:JF42=GF5)*(JN3:JN42="L"))</f>
        <v>0</v>
      </c>
      <c r="GJ5" s="75">
        <f ca="1">IF(GF5&lt;&gt;"",VLOOKUP(GF5,EI4:EM29,5,FALSE),0)</f>
        <v>0</v>
      </c>
      <c r="GK5" s="75">
        <f ca="1">IF(GF5&lt;&gt;"",VLOOKUP(GF5,EI4:EN29,6,FALSE),0)</f>
        <v>0</v>
      </c>
      <c r="GL5" s="75">
        <f ca="1">GJ5-GK5+1000</f>
        <v>1000</v>
      </c>
      <c r="GM5" s="75">
        <f ca="1">IF(GF5&lt;&gt;"",VLOOKUP(GF5,EI4:EP29,8,FALSE),0)</f>
        <v>0</v>
      </c>
      <c r="GN5" s="75">
        <f ca="1">IF(GF5&lt;&gt;"",VLOOKUP(GF5,EI4:EQ29,9,FALSE),0)</f>
        <v>0</v>
      </c>
      <c r="GO5" s="75">
        <f ca="1">GM5-GN5+1000</f>
        <v>1000</v>
      </c>
      <c r="GP5" s="75" t="str">
        <f ca="1">IF(GF5&lt;&gt;"",VLOOKUP(GF5,EI4:EM8,5,FALSE),"")</f>
        <v/>
      </c>
      <c r="GQ5" s="75" t="str">
        <f ca="1">IF(GF5&lt;&gt;"",VLOOKUP(GF5,EI4:EP8,8,FALSE),"")</f>
        <v/>
      </c>
      <c r="GR5" s="75" t="str">
        <f ca="1">IF(GF5&lt;&gt;"",VLOOKUP(GF5,EI4:EW8,15,FALSE),"")</f>
        <v/>
      </c>
      <c r="GS5" s="75">
        <f ca="1">SUMPRODUCT((JC3:JC42=GF5)*(JF3:JF42=GF6)*JI3:JI42)+SUMPRODUCT((JC3:JC42=GF5)*(JF3:JF42=GF7)*JI3:JI42)+SUMPRODUCT((JC3:JC42=GF5)*(JF3:JF42=GF8)*JI3:JI42)+SUMPRODUCT((JC3:JC42=GF6)*(JF3:JF42=GF5)*JJ3:JJ42)+SUMPRODUCT((JC3:JC42=GF7)*(JF3:JF42=GF5)*JJ3:JJ42)+SUMPRODUCT((JC3:JC42=GF8)*(JF3:JF42=GF5)*JJ3:JJ42)</f>
        <v>0</v>
      </c>
      <c r="GT5" s="75">
        <f ca="1">SUMPRODUCT((JC3:JC42=GF5)*(JF3:JF42=GF6)*JK3:JK42)+SUMPRODUCT((JC3:JC42=GF5)*(JF3:JF42=GF7)*JK3:JK42)+SUMPRODUCT((JC3:JC42=GF5)*(JF3:JF42=GF8)*JK3:JK42)+SUMPRODUCT((JC3:JC42=GF6)*(JF3:JF42=GF5)*JL3:JL42)+SUMPRODUCT((JC3:JC42=GF7)*(JF3:JF42=GF5)*JL3:JL42)+SUMPRODUCT((JC3:JC42=GF8)*(JF3:JF42=GF5)*JL3:JL42)</f>
        <v>0</v>
      </c>
      <c r="GU5" s="75">
        <f ca="1">GG5*4+GH5*2+GS5+GT5</f>
        <v>0</v>
      </c>
      <c r="GV5" s="75" t="str">
        <f ca="1">IF(GF5&lt;&gt;"",RANK(GU5,GU5:GU8),"")</f>
        <v/>
      </c>
      <c r="GW5" s="75">
        <f ca="1">SUMPRODUCT((GU5:GU8=GU5)*(GL5:GL8&gt;GL5))</f>
        <v>0</v>
      </c>
      <c r="GX5" s="75">
        <f ca="1">SUMPRODUCT((GU5:GU8=GU5)*(GL5:GL8=GL5)*(GO5:GO8&gt;GO5))</f>
        <v>0</v>
      </c>
      <c r="GY5" s="75">
        <f ca="1">SUMPRODUCT((GU4:GU8=GU5)*(GL4:GL8=GL5)*(GO4:GO8=GO5)*(GP4:GP8&gt;GP5))</f>
        <v>0</v>
      </c>
      <c r="GZ5" s="75">
        <f ca="1">SUMPRODUCT((GU4:GU8=GU5)*(GL4:GL8=GL5)*(GO4:GO8=GO5)*(GP4:GP8=GP5)*(GQ4:GQ8&gt;GQ5))</f>
        <v>0</v>
      </c>
      <c r="HA5" s="75">
        <f ca="1">SUMPRODUCT((GU4:GU8=GU5)*(GL4:GL8=GL5)*(GO4:GO8=GO5)*(GP4:GP8=GP5)*(GQ4:GQ8=GQ5)*(GR4:GR8&gt;GR5))</f>
        <v>0</v>
      </c>
      <c r="HB5" s="75" t="str">
        <f ca="1">IF(GF5&lt;&gt;"",SUM(GV5:HA5)+1,"")</f>
        <v/>
      </c>
      <c r="HC5" s="75" t="str">
        <f ca="1">IF(GF5&lt;&gt;"",INDEX(GF5:GF8,MATCH(2,HB5:HB8,0),0),"")</f>
        <v/>
      </c>
      <c r="IZ5" s="75" t="str">
        <f ca="1">IF(HC5&lt;&gt;"",HC5,IF(GE5&lt;&gt;"",GE5,FA5))</f>
        <v>Fiji</v>
      </c>
      <c r="JA5" s="75">
        <v>2</v>
      </c>
      <c r="JB5" s="75">
        <v>3</v>
      </c>
      <c r="JC5" s="75" t="str">
        <f t="shared" si="4"/>
        <v>Ireland</v>
      </c>
      <c r="JD5" s="75" t="str">
        <f ca="1">IF(OFFSET('Prediction Sheet'!$W15,0,JD$1)&lt;&gt;"",OFFSET('Prediction Sheet'!$W15,0,JD$1),"")</f>
        <v/>
      </c>
      <c r="JE5" s="75" t="str">
        <f ca="1">IF(OFFSET('Prediction Sheet'!$Y15,0,JD$1)&lt;&gt;"",OFFSET('Prediction Sheet'!$Y15,0,JD$1),"")</f>
        <v/>
      </c>
      <c r="JF5" s="75" t="str">
        <f t="shared" si="5"/>
        <v>Canada</v>
      </c>
      <c r="JG5" s="75" t="str">
        <f ca="1">IF(OFFSET('Prediction Sheet'!$AA15,0,JF$1)&lt;&gt;"",OFFSET('Prediction Sheet'!$AA15,0,JF$1),"")</f>
        <v/>
      </c>
      <c r="JH5" s="75" t="str">
        <f ca="1">IF(OFFSET('Prediction Sheet'!$AC15,0,JG$1)&lt;&gt;"",OFFSET('Prediction Sheet'!$AC15,0,JG$1),"")</f>
        <v/>
      </c>
      <c r="JI5" s="75">
        <f t="shared" ca="1" si="6"/>
        <v>0</v>
      </c>
      <c r="JJ5" s="75">
        <f t="shared" ca="1" si="7"/>
        <v>0</v>
      </c>
      <c r="JK5" s="75">
        <f t="shared" ca="1" si="8"/>
        <v>0</v>
      </c>
      <c r="JL5" s="75">
        <f t="shared" ca="1" si="9"/>
        <v>0</v>
      </c>
      <c r="JM5" s="75" t="str">
        <f t="shared" ca="1" si="10"/>
        <v/>
      </c>
      <c r="JN5" s="75" t="str">
        <f t="shared" ca="1" si="11"/>
        <v/>
      </c>
    </row>
    <row r="6" spans="1:274" x14ac:dyDescent="0.2">
      <c r="A6" s="75">
        <f>VLOOKUP(B6,DS4:DT8,2,FALSE)</f>
        <v>3</v>
      </c>
      <c r="B6" s="75" t="s">
        <v>43</v>
      </c>
      <c r="C6" s="75">
        <f t="shared" si="12"/>
        <v>0</v>
      </c>
      <c r="D6" s="75">
        <f t="shared" si="13"/>
        <v>0</v>
      </c>
      <c r="E6" s="75">
        <f t="shared" si="14"/>
        <v>0</v>
      </c>
      <c r="F6" s="75">
        <f>SUMIF($DV$3:$DV$60,B6,$DW$3:$DW$60)+SUMIF($DY$3:$DY$60,B6,$DX$3:$DX$60)</f>
        <v>0</v>
      </c>
      <c r="G6" s="75">
        <f>SUMIF($DY$3:$DY$60,B6,$DW$3:$DW$60)+SUMIF($DV$3:$DV$60,B6,$DX$3:$DX$60)</f>
        <v>0</v>
      </c>
      <c r="H6" s="75">
        <f t="shared" si="15"/>
        <v>1000</v>
      </c>
      <c r="I6" s="75">
        <f>SUMIF(Tournament!$H$13:$H$52,B6,Tournament!$O$13:$O$52)+SUMIF(Tournament!$N$13:$N$52,B6,Tournament!$Q$13:$Q$52)</f>
        <v>0</v>
      </c>
      <c r="J6" s="75">
        <f>SUMIF(Tournament!$N$13:$N$52,B6,Tournament!$O$13:$O$52)+SUMIF(Tournament!$H$13:$H$52,B6,Tournament!$Q$13:$Q$52)</f>
        <v>0</v>
      </c>
      <c r="K6" s="75">
        <f t="shared" si="16"/>
        <v>1000</v>
      </c>
      <c r="L6" s="75">
        <f t="shared" si="17"/>
        <v>0</v>
      </c>
      <c r="M6" s="75">
        <f>SUMIF(DV:DV,B6,EB:EB)+SUMIF(DY:DY,B6,EC:EC)</f>
        <v>4</v>
      </c>
      <c r="N6" s="75">
        <f>SUMIF(DV:DV,B6,ED:ED)+SUMIF(DY:DY,B6,EE:EE)</f>
        <v>0</v>
      </c>
      <c r="O6" s="75">
        <f t="shared" si="18"/>
        <v>4</v>
      </c>
      <c r="P6" s="75">
        <v>6</v>
      </c>
      <c r="Q6" s="75">
        <f t="shared" si="19"/>
        <v>1</v>
      </c>
      <c r="S6" s="75">
        <f>RANK(O6,$O$4:$O$8)+COUNTIF($O$4:O6,O6)-1</f>
        <v>3</v>
      </c>
      <c r="T6" s="75" t="str">
        <f>INDEX($B$4:$B$8,MATCH(3,$S$4:$S$8,0),0)</f>
        <v>Wales</v>
      </c>
      <c r="U6" s="75">
        <f t="shared" si="20"/>
        <v>1</v>
      </c>
      <c r="V6" s="75" t="str">
        <f>IF(AND(V5&lt;&gt;"",U6=1),T6,"")</f>
        <v>Wales</v>
      </c>
      <c r="W6" s="75" t="str">
        <f>IF(AND(W5&lt;&gt;"",U7=2),T7,"")</f>
        <v/>
      </c>
      <c r="X6" s="75" t="str">
        <f>IF(AND(X5&lt;&gt;"",U8=3),T8,"")</f>
        <v/>
      </c>
      <c r="AA6" s="75" t="str">
        <f t="shared" si="21"/>
        <v>Wales</v>
      </c>
      <c r="AB6" s="75">
        <f>SUMPRODUCT((DV3:DV42=AA6)*(DY3:DY42=AA7)*(EF3:EF42="W"))+SUMPRODUCT((DV3:DV42=AA6)*(DY3:DY42=AA8)*(EF3:EF42="W"))+SUMPRODUCT((DV3:DV42=AA6)*(DY3:DY42=AA4)*(EF3:EF42="W"))+SUMPRODUCT((DV3:DV42=AA6)*(DY3:DY42=AA5)*(EF3:EF42="W"))+SUMPRODUCT((DV3:DV42=AA7)*(DY3:DY42=AA6)*(EG3:EG42="W"))+SUMPRODUCT((DV3:DV42=AA8)*(DY3:DY42=AA6)*(EG3:EG42="W"))+SUMPRODUCT((DV3:DV42=AA4)*(DY3:DY42=AA6)*(EG3:EG42="W"))+SUMPRODUCT((DV3:DV42=AA5)*(DY3:DY42=AA6)*(EG3:EG42="W"))</f>
        <v>0</v>
      </c>
      <c r="AC6" s="75">
        <f>SUMPRODUCT((DV3:DV42=AA6)*(DY3:DY42=AA7)*(EF3:EF42="D"))+SUMPRODUCT((DV3:DV42=AA6)*(DY3:DY42=AA8)*(EF3:EF42="D"))+SUMPRODUCT((DV3:DV42=AA6)*(DY3:DY42=AA4)*(EF3:EF42="D"))+SUMPRODUCT((DV3:DV42=AA6)*(DY3:DY42=AA5)*(EF3:EF42="D"))+SUMPRODUCT((DV3:DV42=AA7)*(DY3:DY42=AA6)*(EF3:EF42="D"))+SUMPRODUCT((DV3:DV42=AA8)*(DY3:DY42=AA6)*(EF3:EF42="D"))+SUMPRODUCT((DV3:DV42=AA4)*(DY3:DY42=AA6)*(EF3:EF42="D"))+SUMPRODUCT((DV3:DV42=AA5)*(DY3:DY42=AA6)*(EF3:EF42="D"))</f>
        <v>0</v>
      </c>
      <c r="AD6" s="75">
        <f>SUMPRODUCT((DV3:DV42=AA6)*(DY3:DY42=AA7)*(EF3:EF42="L"))+SUMPRODUCT((DV3:DV42=AA6)*(DY3:DY42=AA8)*(EF3:EF42="L"))+SUMPRODUCT((DV3:DV42=AA6)*(DY3:DY42=AA4)*(EF3:EF42="L"))+SUMPRODUCT((DV3:DV42=AA6)*(DY3:DY42=AA5)*(EF3:EF42="L"))+SUMPRODUCT((DV3:DV42=AA7)*(DY3:DY42=AA6)*(EG3:EG42="L"))+SUMPRODUCT((DV3:DV42=AA8)*(DY3:DY42=AA6)*(EG3:EG42="L"))+SUMPRODUCT((DV3:DV42=AA4)*(DY3:DY42=AA6)*(EG3:EG42="L"))+SUMPRODUCT((DV3:DV42=AA5)*(DY3:DY42=AA6)*(EG3:EG42="L"))</f>
        <v>0</v>
      </c>
      <c r="AE6" s="75">
        <f>IF(AA6&lt;&gt;"",VLOOKUP(AA6,B4:F29,5,FALSE),0)</f>
        <v>0</v>
      </c>
      <c r="AF6" s="75">
        <f>IF(AA6&lt;&gt;"",VLOOKUP(AA6,B4:G29,6,FALSE),0)</f>
        <v>0</v>
      </c>
      <c r="AG6" s="75">
        <f>AE6-AF6+1000</f>
        <v>1000</v>
      </c>
      <c r="AH6" s="75">
        <f>IF(AA6&lt;&gt;"",VLOOKUP(AA6,B4:I29,8,FALSE),0)</f>
        <v>0</v>
      </c>
      <c r="AI6" s="75">
        <f>IF(AA6&lt;&gt;"",VLOOKUP(AA6,B4:J29,9,FALSE),0)</f>
        <v>0</v>
      </c>
      <c r="AJ6" s="75">
        <f>AH6-AI6+1000</f>
        <v>1000</v>
      </c>
      <c r="AK6" s="75">
        <f>IF(AA6&lt;&gt;"",VLOOKUP(AA6,B4:F8,5,FALSE),"")</f>
        <v>0</v>
      </c>
      <c r="AL6" s="75">
        <f>IF(AA6&lt;&gt;"",VLOOKUP(AA6,B4:I8,8,FALSE),"")</f>
        <v>0</v>
      </c>
      <c r="AM6" s="75">
        <f>IF(AA6&lt;&gt;"",VLOOKUP(AA6,B4:P8,15,FALSE),"")</f>
        <v>6</v>
      </c>
      <c r="AN6" s="75">
        <f>SUMPRODUCT((DV3:DV42=AA6)*(DY3:DY42=AA7)*EB3:EB42)+SUMPRODUCT((DV3:DV42=AA6)*(DY3:DY42=AA8)*EB3:EB42)+SUMPRODUCT((DV3:DV42=AA6)*(DY3:DY42=AA4)*EB3:EB42)+SUMPRODUCT((DV3:DV42=AA6)*(DY3:DY42=AA5)*EB3:EB42)+SUMPRODUCT((DV3:DV42=AA7)*(DY3:DY42=AA6)*EC3:EC42)+SUMPRODUCT((DV3:DV42=AA8)*(DY3:DY42=AA6)*EC3:EC42)+SUMPRODUCT((DV3:DV42=AA4)*(DY3:DY42=AA6)*EC3:EC42)+SUMPRODUCT((DV3:DV42=AA5)*(DY3:DY42=AA6)*EC3:EC42)</f>
        <v>4</v>
      </c>
      <c r="AO6" s="75">
        <f>SUMPRODUCT((DV3:DV42=AA6)*(DY3:DY42=AA7)*ED3:ED42)+SUMPRODUCT((DV3:DV42=AA6)*(DY3:DY42=AA8)*ED3:ED42)+SUMPRODUCT((DV3:DV42=AA6)*(DY3:DY42=AA4)*ED3:ED42)+SUMPRODUCT((DV3:DV42=AA6)*(DY3:DY42=AA5)*ED3:ED42)+SUMPRODUCT((DV3:DV42=AA7)*(DY3:DY42=AA6)*EE3:EE42)+SUMPRODUCT((DV3:DV42=AA8)*(DY3:DY42=AA6)*EE3:EE42)+SUMPRODUCT((DV3:DV42=AA4)*(DY3:DY42=AA6)*EE3:EE42)+SUMPRODUCT((DV3:DV42=AA5)*(DY3:DY42=AA6)*EE3:EE42)</f>
        <v>0</v>
      </c>
      <c r="AP6" s="75">
        <f>AB6*4+AC6*2+AN6+AO6</f>
        <v>4</v>
      </c>
      <c r="AQ6" s="75">
        <f>IF(AA6&lt;&gt;"",RANK(AP6,AP4:AP8),"")</f>
        <v>1</v>
      </c>
      <c r="AR6" s="75">
        <f>SUMPRODUCT((AP4:AP8=AP6)*(AG4:AG8&gt;AG6))</f>
        <v>0</v>
      </c>
      <c r="AS6" s="75">
        <f>SUMPRODUCT((AP4:AP8=AP6)*(AG4:AG8=AG6)*(AJ4:AJ8&gt;AJ6))</f>
        <v>0</v>
      </c>
      <c r="AT6" s="75">
        <f>SUMPRODUCT((AP4:AP8=AP6)*(AG4:AG8=AG6)*(AJ4:AJ8=AJ6)*(AK4:AK8&gt;AK6))</f>
        <v>0</v>
      </c>
      <c r="AU6" s="75">
        <f>SUMPRODUCT((AP4:AP8=AP6)*(AG4:AG8=AG6)*(AJ4:AJ8=AJ6)*(AK4:AK8=AK6)*(AL4:AL8&gt;AL6))</f>
        <v>0</v>
      </c>
      <c r="AV6" s="75">
        <f>SUMPRODUCT((AP4:AP8=AP6)*(AG4:AG8=AG6)*(AJ4:AJ8=AJ6)*(AK4:AK8=AK6)*(AL4:AL8=AL6)*(AM4:AM8&gt;AM6))</f>
        <v>2</v>
      </c>
      <c r="AW6" s="75">
        <f t="shared" si="22"/>
        <v>3</v>
      </c>
      <c r="AX6" s="75" t="str">
        <f>IF(AA6&lt;&gt;"",INDEX(AA4:AA8,MATCH(3,AW4:AW8,0),0),"")</f>
        <v>Wales</v>
      </c>
      <c r="AY6" s="75" t="str">
        <f>IF(W5&lt;&gt;"",W5,"")</f>
        <v/>
      </c>
      <c r="AZ6" s="75">
        <f>SUMPRODUCT((DV3:DV42=AY6)*(DY3:DY42=AY7)*(EF3:EF42="W"))+SUMPRODUCT((DV3:DV42=AY6)*(DY3:DY42=AY8)*(EF3:EF42="W"))+SUMPRODUCT((DV3:DV42=AY6)*(DY3:DY42=AY5)*(EF3:EF42="W"))+SUMPRODUCT((DV3:DV42=AY7)*(DY3:DY42=AY6)*(EG3:EG42="W"))+SUMPRODUCT((DV3:DV42=AY8)*(DY3:DY42=AY6)*(EG3:EG42="W"))+SUMPRODUCT((DV3:DV42=AY5)*(DY3:DY42=AY6)*(EG3:EG42="W"))</f>
        <v>0</v>
      </c>
      <c r="BA6" s="75">
        <f>SUMPRODUCT((DV3:DV42=AY6)*(DY3:DY42=AY7)*(EF3:EF42="D"))+SUMPRODUCT((DV3:DV42=AY6)*(DY3:DY42=AY8)*(EF3:EF42="D"))+SUMPRODUCT((DV3:DV42=AY6)*(DY3:DY42=AY5)*(EF3:EF42="D"))+SUMPRODUCT((DV3:DV42=AY7)*(DY3:DY42=AY6)*(EF3:EF42="D"))+SUMPRODUCT((DV3:DV42=AY8)*(DY3:DY42=AY6)*(EF3:EF42="D"))+SUMPRODUCT((DV3:DV42=AY5)*(DY3:DY42=AY6)*(EF3:EF42="D"))</f>
        <v>0</v>
      </c>
      <c r="BB6" s="75">
        <f>SUMPRODUCT((DV3:DV42=AY6)*(DY3:DY42=AY7)*(EF3:EF42="L"))+SUMPRODUCT((DV3:DV42=AY6)*(DY3:DY42=AY8)*(EF3:EF42="L"))+SUMPRODUCT((DV3:DV42=AY6)*(DY3:DY42=AY5)*(EF3:EF42="L"))+SUMPRODUCT((DV3:DV42=AY7)*(DY3:DY42=AY6)*(EG3:EG42="L"))+SUMPRODUCT((DV3:DV42=AY8)*(DY3:DY42=AY6)*(EG3:EG42="L"))+SUMPRODUCT((DV3:DV42=AY5)*(DY3:DY42=AY6)*(EG3:EG42="L"))</f>
        <v>0</v>
      </c>
      <c r="BC6" s="75">
        <f>IF(AY6&lt;&gt;"",VLOOKUP(AY6,B4:F29,5,FALSE),0)</f>
        <v>0</v>
      </c>
      <c r="BD6" s="75">
        <f>IF(AY6&lt;&gt;"",VLOOKUP(AY6,B4:G29,6,FALSE),0)</f>
        <v>0</v>
      </c>
      <c r="BE6" s="75">
        <f>BC6-BD6+1000</f>
        <v>1000</v>
      </c>
      <c r="BF6" s="75">
        <f>IF(AY6&lt;&gt;"",VLOOKUP(AY6,B4:I29,8,FALSE),0)</f>
        <v>0</v>
      </c>
      <c r="BG6" s="75">
        <f>IF(AY6&lt;&gt;"",VLOOKUP(AY6,B4:J29,9,FALSE),0)</f>
        <v>0</v>
      </c>
      <c r="BH6" s="75">
        <f t="shared" ref="BH6" si="38">BF6-BG6+1000</f>
        <v>1000</v>
      </c>
      <c r="BI6" s="75" t="str">
        <f>IF(AY6&lt;&gt;"",VLOOKUP(AY6,B4:F8,5,FALSE),"")</f>
        <v/>
      </c>
      <c r="BJ6" s="75" t="str">
        <f>IF(AY6&lt;&gt;"",VLOOKUP(AY6,B4:I8,8,FALSE),"")</f>
        <v/>
      </c>
      <c r="BK6" s="75" t="str">
        <f>IF(AY6&lt;&gt;"",VLOOKUP(AY6,B4:P8,15,FALSE),"")</f>
        <v/>
      </c>
      <c r="BL6" s="75">
        <f>SUMPRODUCT((DV3:DV42=AY6)*(DY3:DY42=AY7)*EB3:EB42)+SUMPRODUCT((DV3:DV42=AY6)*(DY3:DY42=AY8)*EB3:EB42)+SUMPRODUCT((DV3:DV42=AY6)*(DY3:DY42=AY5)*EB3:EB42)+SUMPRODUCT((DV3:DV42=AY7)*(DY3:DY42=AY6)*EC3:EC42)+SUMPRODUCT((DV3:DV42=AY8)*(DY3:DY42=AY6)*EC3:EC42)+SUMPRODUCT((DV3:DV42=AY5)*(DY3:DY42=AY6)*EC3:EC42)</f>
        <v>0</v>
      </c>
      <c r="BM6" s="75">
        <f>SUMPRODUCT((DV3:DV42=AY6)*(DY3:DY42=AY7)*ED3:ED42)+SUMPRODUCT((DV3:DV42=AY6)*(DY3:DY42=AY8)*ED3:ED42)+SUMPRODUCT((DV3:DV42=AY6)*(DY3:DY42=AY5)*ED3:ED42)+SUMPRODUCT((DV3:DV42=AY7)*(DY3:DY42=AY6)*EE3:EE42)+SUMPRODUCT((DV3:DV42=AY8)*(DY3:DY42=AY6)*EE3:EE42)+SUMPRODUCT((DV3:DV42=AY5)*(DY3:DY42=AY6)*EE3:EE42)</f>
        <v>0</v>
      </c>
      <c r="BN6" s="75">
        <f>AZ6*4+BA6*2+BL6+BM6</f>
        <v>0</v>
      </c>
      <c r="BO6" s="75" t="str">
        <f>IF(AY6&lt;&gt;"",RANK(BN6,BN5:BN8),"")</f>
        <v/>
      </c>
      <c r="BP6" s="75">
        <f>SUMPRODUCT((BN5:BN8=BN6)*(BE5:BE8&gt;BE6))</f>
        <v>0</v>
      </c>
      <c r="BQ6" s="75">
        <f>SUMPRODUCT((BN5:BN8=BN6)*(BE5:BE8=BE6)*(BH5:BH8&gt;BH6))</f>
        <v>0</v>
      </c>
      <c r="BR6" s="75">
        <f>SUMPRODUCT((BN4:BN8=BN6)*(BE4:BE8=BE6)*(BH4:BH8=BH6)*(BI4:BI8&gt;BI6))</f>
        <v>0</v>
      </c>
      <c r="BS6" s="75">
        <f>SUMPRODUCT((BN4:BN8=BN6)*(BE4:BE8=BE6)*(BH4:BH8=BH6)*(BI4:BI8=BI6)*(BJ4:BJ8&gt;BJ6))</f>
        <v>0</v>
      </c>
      <c r="BT6" s="75">
        <f>SUMPRODUCT((BN4:BN8=BN6)*(BE4:BE8=BE6)*(BH4:BH8=BH6)*(BI4:BI8=BI6)*(BJ4:BJ8=BJ6)*(BK4:BK8&gt;BK6))</f>
        <v>0</v>
      </c>
      <c r="BU6" s="75" t="str">
        <f t="shared" ref="BU6:BU8" si="39">IF(AY6&lt;&gt;"",SUM(BO6:BT6)+1,"")</f>
        <v/>
      </c>
      <c r="BV6" s="75" t="str">
        <f>IF(AY6&lt;&gt;"",INDEX(AY5:AY8,MATCH(3,BU5:BU8,0),0),"")</f>
        <v/>
      </c>
      <c r="BW6" s="75" t="str">
        <f>IF(X4&lt;&gt;"",X4,"")</f>
        <v/>
      </c>
      <c r="BX6" s="75">
        <f>SUMPRODUCT((DV3:DV42=BW6)*(DY3:DY42=BW7)*(EF3:EF42="W"))+SUMPRODUCT((DV3:DV42=BW6)*(DY3:DY42=BW8)*(EF3:EF42="W"))+SUMPRODUCT((DV3:DV42=BW6)*(DY3:DY42=BW9)*(EF3:EF42="W"))+SUMPRODUCT((DV3:DV42=BW7)*(DY3:DY42=BW6)*(EG3:EG42="W"))+SUMPRODUCT((DV3:DV42=BW8)*(DY3:DY42=BW6)*(EG3:EG42="W"))+SUMPRODUCT((DV3:DV42=BW9)*(DY3:DY42=BW6)*(EG3:EG42="W"))</f>
        <v>0</v>
      </c>
      <c r="BY6" s="75">
        <f>SUMPRODUCT((DV3:DV42=BW6)*(DY3:DY42=BW7)*(EF3:EF42="D"))+SUMPRODUCT((DV3:DV42=BW6)*(DY3:DY42=BW8)*(EF3:EF42="D"))+SUMPRODUCT((DV3:DV42=BW6)*(DY3:DY42=BW9)*(EF3:EF42="D"))+SUMPRODUCT((DV3:DV42=BW7)*(DY3:DY42=BW6)*(EF3:EF42="D"))+SUMPRODUCT((DV3:DV42=BW8)*(DY3:DY42=BW6)*(EF3:EF42="D"))+SUMPRODUCT((DV3:DV42=BW9)*(DY3:DY42=BW6)*(EF3:EF42="D"))</f>
        <v>0</v>
      </c>
      <c r="BZ6" s="75">
        <f>SUMPRODUCT((DV3:DV42=BW6)*(DY3:DY42=BW7)*(EF3:EF42="L"))+SUMPRODUCT((DV3:DV42=BW6)*(DY3:DY42=BW8)*(EF3:EF42="L"))+SUMPRODUCT((DV3:DV42=BW6)*(DY3:DY42=BW9)*(EF3:EF42="L"))+SUMPRODUCT((DV3:DV42=BW7)*(DY3:DY42=BW6)*(EG3:EG42="L"))+SUMPRODUCT((DV3:DV42=BW8)*(DY3:DY42=BW6)*(EG3:EG42="L"))+SUMPRODUCT((DV3:DV42=BW9)*(DY3:DY42=BW6)*(EG3:EG42="L"))</f>
        <v>0</v>
      </c>
      <c r="CA6" s="75">
        <f>IF(BW6&lt;&gt;"",VLOOKUP(BW6,B4:F29,5,FALSE),0)</f>
        <v>0</v>
      </c>
      <c r="CB6" s="75">
        <f>IF(BW6&lt;&gt;"",VLOOKUP(BW6,B4:G29,6,FALSE),0)</f>
        <v>0</v>
      </c>
      <c r="CC6" s="75">
        <f>CA6-CB6+1000</f>
        <v>1000</v>
      </c>
      <c r="CD6" s="75">
        <f>IF(BW6&lt;&gt;"",VLOOKUP(BW6,B4:I29,8,FALSE),0)</f>
        <v>0</v>
      </c>
      <c r="CE6" s="75">
        <f>IF(BW6&lt;&gt;"",VLOOKUP(BW6,B4:J29,9,FALSE),0)</f>
        <v>0</v>
      </c>
      <c r="CF6" s="75">
        <f>CD6-CE6+1000</f>
        <v>1000</v>
      </c>
      <c r="CG6" s="75" t="str">
        <f>IF(BW6&lt;&gt;"",VLOOKUP(BW6,B4:F8,5,FALSE),"")</f>
        <v/>
      </c>
      <c r="CH6" s="75" t="str">
        <f>IF(BW6&lt;&gt;"",VLOOKUP(BW6,B4:I8,8,FALSE),"")</f>
        <v/>
      </c>
      <c r="CI6" s="75" t="str">
        <f>IF(BW6&lt;&gt;"",VLOOKUP(BW6,B4:P8,15,FALSE),"")</f>
        <v/>
      </c>
      <c r="CJ6" s="75">
        <f>SUMPRODUCT((DV3:DV42=BW6)*(DY3:DY42=BW7)*EB3:EB42)+SUMPRODUCT((DV3:DV42=BW6)*(DY3:DY42=BW8)*EB3:EB42)+SUMPRODUCT((DV3:DV42=BW6)*(DY3:DY42=BW9)*EB3:EB42)+SUMPRODUCT((DV3:DV42=BW7)*(DY3:DY42=BW6)*EC3:EC42)+SUMPRODUCT((DV3:DV42=BW8)*(DY3:DY42=BW6)*EC3:EC42)+SUMPRODUCT((DV3:DV42=BW9)*(DY3:DY42=BW6)*EC3:EC42)</f>
        <v>0</v>
      </c>
      <c r="CK6" s="75">
        <f>SUMPRODUCT((DV3:DV42=BW6)*(DY3:DY42=BW7)*ED3:ED42)+SUMPRODUCT((DV3:DV42=BW6)*(DY3:DY42=BW8)*ED3:ED42)+SUMPRODUCT((DV3:DV42=BW6)*(DY3:DY42=BW9)*ED3:ED42)+SUMPRODUCT((DV3:DV42=BW7)*(DY3:DY42=BW6)*EE3:EE42)+SUMPRODUCT((DV3:DV42=BW8)*(DY3:DY42=BW6)*EE3:EE42)+SUMPRODUCT((DV3:DV42=BW9)*(DY3:DY42=BW6)*EE3:EE42)</f>
        <v>0</v>
      </c>
      <c r="CL6" s="75">
        <f>BX6*4+BY6*2+CJ6+CK6</f>
        <v>0</v>
      </c>
      <c r="CM6" s="75" t="str">
        <f>IF(BW6&lt;&gt;"",RANK(CL6,CL6:CL9),"")</f>
        <v/>
      </c>
      <c r="CN6" s="75">
        <f>SUMPRODUCT((CL6:CL9=CL6)*(CC6:CC9&gt;CC6))</f>
        <v>0</v>
      </c>
      <c r="CO6" s="75">
        <f>SUMPRODUCT((CL6:CL9=CL6)*(CC6:CC9=CC6)*(CF6:CF9&gt;CF6))</f>
        <v>0</v>
      </c>
      <c r="CP6" s="75">
        <f>SUMPRODUCT((CL4:CL8=CL6)*(CC4:CC8=CC6)*(CF4:CF8=CF6)*(CG4:CG8&gt;CG6))</f>
        <v>0</v>
      </c>
      <c r="CQ6" s="75">
        <f>SUMPRODUCT((CL4:CL8=CL6)*(CC4:CC8=CC6)*(CF4:CF8=CF6)*(CG4:CG8=CG6)*(CH4:CH8&gt;CH6))</f>
        <v>0</v>
      </c>
      <c r="CR6" s="75">
        <f>SUMPRODUCT((CL4:CL8=CL6)*(CC4:CC8=CC6)*(CF4:CF8=CF6)*(CG4:CG8=CG6)*(CH4:CH8=CH6)*(CI4:CI8&gt;CI6))</f>
        <v>0</v>
      </c>
      <c r="CS6" s="75" t="str">
        <f>IF(BW6&lt;&gt;"",SUM(CM6:CR6)+2,"")</f>
        <v/>
      </c>
      <c r="CT6" s="75" t="str">
        <f>IF(BW6&lt;&gt;"",INDEX(BW6:BW8,MATCH(3,CS6:CS8,0),0),"")</f>
        <v/>
      </c>
      <c r="DS6" s="75" t="str">
        <f>IF(CT6&lt;&gt;"",CT6,IF(BV6&lt;&gt;"",BV6,IF(AX6&lt;&gt;"",AX6,T6)))</f>
        <v>Wales</v>
      </c>
      <c r="DT6" s="75">
        <v>3</v>
      </c>
      <c r="DU6" s="75">
        <v>4</v>
      </c>
      <c r="DV6" s="75" t="str">
        <f>Tournament!H16</f>
        <v>South Africa</v>
      </c>
      <c r="DW6" s="75">
        <f>IF(AND(Tournament!J16&lt;&gt;"",Tournament!L16&lt;&gt;""),Tournament!J16,0)</f>
        <v>0</v>
      </c>
      <c r="DX6" s="75">
        <f>IF(AND(Tournament!L16&lt;&gt;"",Tournament!J16&lt;&gt;""),Tournament!L16,0)</f>
        <v>0</v>
      </c>
      <c r="DY6" s="75" t="str">
        <f>Tournament!N16</f>
        <v>Japan</v>
      </c>
      <c r="DZ6" s="75">
        <f>IF(Tournament!O16&lt;&gt;"",Tournament!O16,0)</f>
        <v>0</v>
      </c>
      <c r="EA6" s="75">
        <f>IF(Tournament!Q16&lt;&gt;"",Tournament!Q16,0)</f>
        <v>0</v>
      </c>
      <c r="EB6" s="75">
        <f>IF(DW6&lt;&gt;"",IF(Tournament!O16&gt;3,1,0),0)</f>
        <v>1</v>
      </c>
      <c r="EC6" s="75">
        <f>IF(DX6&lt;&gt;"",IF(Tournament!Q16&gt;3,1,0),0)</f>
        <v>1</v>
      </c>
      <c r="ED6" s="75">
        <f t="shared" si="1"/>
        <v>0</v>
      </c>
      <c r="EE6" s="75">
        <f t="shared" si="2"/>
        <v>0</v>
      </c>
      <c r="EF6" s="75" t="str">
        <f>IF(AND(Tournament!J16&lt;&gt;"",Tournament!L16&lt;&gt;""),IF(DW6&gt;DX6,"W",IF(DW6=DX6,"D","L")),"")</f>
        <v/>
      </c>
      <c r="EG6" s="75" t="str">
        <f t="shared" si="3"/>
        <v/>
      </c>
      <c r="EH6" s="75">
        <f ca="1">VLOOKUP(EI6,IZ4:JA8,2,FALSE)</f>
        <v>3</v>
      </c>
      <c r="EI6" s="75" t="s">
        <v>43</v>
      </c>
      <c r="EJ6" s="75">
        <f t="shared" ca="1" si="23"/>
        <v>0</v>
      </c>
      <c r="EK6" s="75">
        <f t="shared" ca="1" si="24"/>
        <v>0</v>
      </c>
      <c r="EL6" s="75">
        <f t="shared" ca="1" si="25"/>
        <v>0</v>
      </c>
      <c r="EM6" s="75">
        <f t="shared" ca="1" si="26"/>
        <v>0</v>
      </c>
      <c r="EN6" s="75">
        <f t="shared" ca="1" si="27"/>
        <v>0</v>
      </c>
      <c r="EO6" s="75">
        <f t="shared" ca="1" si="28"/>
        <v>1000</v>
      </c>
      <c r="EP6" s="75">
        <f t="shared" ca="1" si="29"/>
        <v>0</v>
      </c>
      <c r="EQ6" s="75">
        <f t="shared" ca="1" si="30"/>
        <v>0</v>
      </c>
      <c r="ER6" s="75">
        <f t="shared" ca="1" si="31"/>
        <v>1000</v>
      </c>
      <c r="ES6" s="75">
        <f t="shared" ca="1" si="32"/>
        <v>0</v>
      </c>
      <c r="ET6" s="75">
        <f ca="1">SUMIF(JC:JC,EI6,JI:JI)+SUMIF(JF:JF,EI6,JJ:JJ)</f>
        <v>0</v>
      </c>
      <c r="EU6" s="75">
        <f ca="1">SUMIF(JC:JC,EI6,JK:JK)+SUMIF(JF:JF,EI6,JL:JL)</f>
        <v>0</v>
      </c>
      <c r="EV6" s="75">
        <f t="shared" ca="1" si="33"/>
        <v>0</v>
      </c>
      <c r="EW6" s="75">
        <v>6</v>
      </c>
      <c r="EX6" s="75">
        <f t="shared" ca="1" si="34"/>
        <v>1</v>
      </c>
      <c r="EZ6" s="75">
        <f ca="1">RANK(EV6,EV$4:EV$8)+COUNTIF(EV$4:EV6,EV6)-1</f>
        <v>3</v>
      </c>
      <c r="FA6" s="75" t="str">
        <f ca="1">INDEX(EI$4:EI$8,MATCH(3,EZ$4:EZ$8,0),0)</f>
        <v>Wales</v>
      </c>
      <c r="FB6" s="75">
        <f t="shared" ca="1" si="35"/>
        <v>1</v>
      </c>
      <c r="FC6" s="75" t="str">
        <f ca="1">IF(AND(FC5&lt;&gt;"",FB6=1),FA6,"")</f>
        <v>Wales</v>
      </c>
      <c r="FD6" s="75" t="str">
        <f ca="1">IF(AND(FD5&lt;&gt;"",FB7=2),FA7,"")</f>
        <v/>
      </c>
      <c r="FE6" s="75" t="str">
        <f ca="1">IF(AND(FE5&lt;&gt;"",FB8=3),FA8,"")</f>
        <v/>
      </c>
      <c r="FH6" s="75" t="str">
        <f t="shared" ca="1" si="36"/>
        <v>Wales</v>
      </c>
      <c r="FI6" s="75">
        <f ca="1">SUMPRODUCT((JC3:JC42=FH6)*(JF3:JF42=FH7)*(JM3:JM42="W"))+SUMPRODUCT((JC3:JC42=FH6)*(JF3:JF42=FH8)*(JM3:JM42="W"))+SUMPRODUCT((JC3:JC42=FH6)*(JF3:JF42=FH4)*(JM3:JM42="W"))+SUMPRODUCT((JC3:JC42=FH6)*(JF3:JF42=FH5)*(JM3:JM42="W"))+SUMPRODUCT((JC3:JC42=FH7)*(JF3:JF42=FH6)*(JN3:JN42="W"))+SUMPRODUCT((JC3:JC42=FH8)*(JF3:JF42=FH6)*(JN3:JN42="W"))+SUMPRODUCT((JC3:JC42=FH4)*(JF3:JF42=FH6)*(JN3:JN42="W"))+SUMPRODUCT((JC3:JC42=FH5)*(JF3:JF42=FH6)*(JN3:JN42="W"))</f>
        <v>0</v>
      </c>
      <c r="FJ6" s="75">
        <f ca="1">SUMPRODUCT((JC3:JC42=FH6)*(JF3:JF42=FH7)*(JM3:JM42="D"))+SUMPRODUCT((JC3:JC42=FH6)*(JF3:JF42=FH8)*(JM3:JM42="D"))+SUMPRODUCT((JC3:JC42=FH6)*(JF3:JF42=FH4)*(JM3:JM42="D"))+SUMPRODUCT((JC3:JC42=FH6)*(JF3:JF42=FH5)*(JM3:JM42="D"))+SUMPRODUCT((JC3:JC42=FH7)*(JF3:JF42=FH6)*(JM3:JM42="D"))+SUMPRODUCT((JC3:JC42=FH8)*(JF3:JF42=FH6)*(JM3:JM42="D"))+SUMPRODUCT((JC3:JC42=FH4)*(JF3:JF42=FH6)*(JM3:JM42="D"))+SUMPRODUCT((JC3:JC42=FH5)*(JF3:JF42=FH6)*(JM3:JM42="D"))</f>
        <v>0</v>
      </c>
      <c r="FK6" s="75">
        <f ca="1">SUMPRODUCT((JC3:JC42=FH6)*(JF3:JF42=FH7)*(JM3:JM42="L"))+SUMPRODUCT((JC3:JC42=FH6)*(JF3:JF42=FH8)*(JM3:JM42="L"))+SUMPRODUCT((JC3:JC42=FH6)*(JF3:JF42=FH4)*(JM3:JM42="L"))+SUMPRODUCT((JC3:JC42=FH6)*(JF3:JF42=FH5)*(JM3:JM42="L"))+SUMPRODUCT((JC3:JC42=FH7)*(JF3:JF42=FH6)*(JN3:JN42="L"))+SUMPRODUCT((JC3:JC42=FH8)*(JF3:JF42=FH6)*(JN3:JN42="L"))+SUMPRODUCT((JC3:JC42=FH4)*(JF3:JF42=FH6)*(JN3:JN42="L"))+SUMPRODUCT((JC3:JC42=FH5)*(JF3:JF42=FH6)*(JN3:JN42="L"))</f>
        <v>0</v>
      </c>
      <c r="FL6" s="75">
        <f ca="1">IF(FH6&lt;&gt;"",VLOOKUP(FH6,EI4:EM29,5,FALSE),0)</f>
        <v>0</v>
      </c>
      <c r="FM6" s="75">
        <f ca="1">IF(FH6&lt;&gt;"",VLOOKUP(FH6,EI4:EN29,6,FALSE),0)</f>
        <v>0</v>
      </c>
      <c r="FN6" s="75">
        <f ca="1">FL6-FM6+1000</f>
        <v>1000</v>
      </c>
      <c r="FO6" s="75">
        <f ca="1">IF(FH6&lt;&gt;"",VLOOKUP(FH6,EI4:EP29,8,FALSE),0)</f>
        <v>0</v>
      </c>
      <c r="FP6" s="75">
        <f ca="1">IF(FH6&lt;&gt;"",VLOOKUP(FH6,EI4:EQ29,9,FALSE),0)</f>
        <v>0</v>
      </c>
      <c r="FQ6" s="75">
        <f ca="1">FO6-FP6+1000</f>
        <v>1000</v>
      </c>
      <c r="FR6" s="75">
        <f ca="1">IF(FH6&lt;&gt;"",VLOOKUP(FH6,EI4:EM8,5,FALSE),"")</f>
        <v>0</v>
      </c>
      <c r="FS6" s="75">
        <f ca="1">IF(FH6&lt;&gt;"",VLOOKUP(FH6,EI4:EP8,8,FALSE),"")</f>
        <v>0</v>
      </c>
      <c r="FT6" s="75">
        <f ca="1">IF(FH6&lt;&gt;"",VLOOKUP(FH6,EI4:EW8,15,FALSE),"")</f>
        <v>6</v>
      </c>
      <c r="FU6" s="75">
        <f ca="1">SUMPRODUCT((JC3:JC42=FH6)*(JF3:JF42=FH7)*JI3:JI42)+SUMPRODUCT((JC3:JC42=FH6)*(JF3:JF42=FH8)*JI3:JI42)+SUMPRODUCT((JC3:JC42=FH6)*(JF3:JF42=FH4)*JI3:JI42)+SUMPRODUCT((JC3:JC42=FH6)*(JF3:JF42=FH5)*JI3:JI42)+SUMPRODUCT((JC3:JC42=FH7)*(JF3:JF42=FH6)*JJ3:JJ42)+SUMPRODUCT((JC3:JC42=FH8)*(JF3:JF42=FH6)*JJ3:JJ42)+SUMPRODUCT((JC3:JC42=FH4)*(JF3:JF42=FH6)*JJ3:JJ42)+SUMPRODUCT((JC3:JC42=FH5)*(JF3:JF42=FH6)*JJ3:JJ42)</f>
        <v>0</v>
      </c>
      <c r="FV6" s="75">
        <f ca="1">SUMPRODUCT((JC3:JC42=FH6)*(JF3:JF42=FH7)*JK3:JK42)+SUMPRODUCT((JC3:JC42=FH6)*(JF3:JF42=FH8)*JK3:JK42)+SUMPRODUCT((JC3:JC42=FH6)*(JF3:JF42=FH4)*JK3:JK42)+SUMPRODUCT((JC3:JC42=FH6)*(JF3:JF42=FH5)*JK3:JK42)+SUMPRODUCT((JC3:JC42=FH7)*(JF3:JF42=FH6)*JL3:JL42)+SUMPRODUCT((JC3:JC42=FH8)*(JF3:JF42=FH6)*JL3:JL42)+SUMPRODUCT((JC3:JC42=FH4)*(JF3:JF42=FH6)*JL3:JL42)+SUMPRODUCT((JC3:JC42=FH5)*(JF3:JF42=FH6)*JL3:JL42)</f>
        <v>0</v>
      </c>
      <c r="FW6" s="75">
        <f ca="1">FI6*4+FJ6*2+FU6+FV6</f>
        <v>0</v>
      </c>
      <c r="FX6" s="75">
        <f ca="1">IF(FH6&lt;&gt;"",RANK(FW6,FW4:FW8),"")</f>
        <v>1</v>
      </c>
      <c r="FY6" s="75">
        <f ca="1">SUMPRODUCT((FW4:FW8=FW6)*(FN4:FN8&gt;FN6))</f>
        <v>0</v>
      </c>
      <c r="FZ6" s="75">
        <f ca="1">SUMPRODUCT((FW4:FW8=FW6)*(FN4:FN8=FN6)*(FQ4:FQ8&gt;FQ6))</f>
        <v>0</v>
      </c>
      <c r="GA6" s="75">
        <f ca="1">SUMPRODUCT((FW4:FW8=FW6)*(FN4:FN8=FN6)*(FQ4:FQ8=FQ6)*(FR4:FR8&gt;FR6))</f>
        <v>0</v>
      </c>
      <c r="GB6" s="75">
        <f ca="1">SUMPRODUCT((FW4:FW8=FW6)*(FN4:FN8=FN6)*(FQ4:FQ8=FQ6)*(FR4:FR8=FR6)*(FS4:FS8&gt;FS6))</f>
        <v>0</v>
      </c>
      <c r="GC6" s="75">
        <f ca="1">SUMPRODUCT((FW4:FW8=FW6)*(FN4:FN8=FN6)*(FQ4:FQ8=FQ6)*(FR4:FR8=FR6)*(FS4:FS8=FS6)*(FT4:FT8&gt;FT6))</f>
        <v>2</v>
      </c>
      <c r="GD6" s="75">
        <f t="shared" ca="1" si="37"/>
        <v>3</v>
      </c>
      <c r="GE6" s="75" t="str">
        <f ca="1">IF(FH6&lt;&gt;"",INDEX(FH4:FH8,MATCH(3,GD4:GD8,0),0),"")</f>
        <v>Wales</v>
      </c>
      <c r="GF6" s="75" t="str">
        <f ca="1">IF(FD5&lt;&gt;"",FD5,"")</f>
        <v/>
      </c>
      <c r="GG6" s="75">
        <f ca="1">SUMPRODUCT((JC3:JC42=GF6)*(JF3:JF42=GF7)*(JM3:JM42="W"))+SUMPRODUCT((JC3:JC42=GF6)*(JF3:JF42=GF8)*(JM3:JM42="W"))+SUMPRODUCT((JC3:JC42=GF6)*(JF3:JF42=GF5)*(JM3:JM42="W"))+SUMPRODUCT((JC3:JC42=GF7)*(JF3:JF42=GF6)*(JN3:JN42="W"))+SUMPRODUCT((JC3:JC42=GF8)*(JF3:JF42=GF6)*(JN3:JN42="W"))+SUMPRODUCT((JC3:JC42=GF5)*(JF3:JF42=GF6)*(JN3:JN42="W"))</f>
        <v>0</v>
      </c>
      <c r="GH6" s="75">
        <f ca="1">SUMPRODUCT((JC3:JC42=GF6)*(JF3:JF42=GF7)*(JM3:JM42="D"))+SUMPRODUCT((JC3:JC42=GF6)*(JF3:JF42=GF8)*(JM3:JM42="D"))+SUMPRODUCT((JC3:JC42=GF6)*(JF3:JF42=GF5)*(JM3:JM42="D"))+SUMPRODUCT((JC3:JC42=GF7)*(JF3:JF42=GF6)*(JM3:JM42="D"))+SUMPRODUCT((JC3:JC42=GF8)*(JF3:JF42=GF6)*(JM3:JM42="D"))+SUMPRODUCT((JC3:JC42=GF5)*(JF3:JF42=GF6)*(JM3:JM42="D"))</f>
        <v>0</v>
      </c>
      <c r="GI6" s="75">
        <f ca="1">SUMPRODUCT((JC3:JC42=GF6)*(JF3:JF42=GF7)*(JM3:JM42="L"))+SUMPRODUCT((JC3:JC42=GF6)*(JF3:JF42=GF8)*(JM3:JM42="L"))+SUMPRODUCT((JC3:JC42=GF6)*(JF3:JF42=GF5)*(JM3:JM42="L"))+SUMPRODUCT((JC3:JC42=GF7)*(JF3:JF42=GF6)*(JN3:JN42="L"))+SUMPRODUCT((JC3:JC42=GF8)*(JF3:JF42=GF6)*(JN3:JN42="L"))+SUMPRODUCT((JC3:JC42=GF5)*(JF3:JF42=GF6)*(JN3:JN42="L"))</f>
        <v>0</v>
      </c>
      <c r="GJ6" s="75">
        <f ca="1">IF(GF6&lt;&gt;"",VLOOKUP(GF6,EI4:EM29,5,FALSE),0)</f>
        <v>0</v>
      </c>
      <c r="GK6" s="75">
        <f ca="1">IF(GF6&lt;&gt;"",VLOOKUP(GF6,EI4:EN29,6,FALSE),0)</f>
        <v>0</v>
      </c>
      <c r="GL6" s="75">
        <f ca="1">GJ6-GK6+1000</f>
        <v>1000</v>
      </c>
      <c r="GM6" s="75">
        <f ca="1">IF(GF6&lt;&gt;"",VLOOKUP(GF6,EI4:EP29,8,FALSE),0)</f>
        <v>0</v>
      </c>
      <c r="GN6" s="75">
        <f ca="1">IF(GF6&lt;&gt;"",VLOOKUP(GF6,EI4:EQ29,9,FALSE),0)</f>
        <v>0</v>
      </c>
      <c r="GO6" s="75">
        <f t="shared" ref="GO6" ca="1" si="40">GM6-GN6+1000</f>
        <v>1000</v>
      </c>
      <c r="GP6" s="75" t="str">
        <f ca="1">IF(GF6&lt;&gt;"",VLOOKUP(GF6,EI4:EM8,5,FALSE),"")</f>
        <v/>
      </c>
      <c r="GQ6" s="75" t="str">
        <f ca="1">IF(GF6&lt;&gt;"",VLOOKUP(GF6,EI4:EP8,8,FALSE),"")</f>
        <v/>
      </c>
      <c r="GR6" s="75" t="str">
        <f ca="1">IF(GF6&lt;&gt;"",VLOOKUP(GF6,EI4:EW8,15,FALSE),"")</f>
        <v/>
      </c>
      <c r="GS6" s="75">
        <f ca="1">SUMPRODUCT((JC3:JC42=GF6)*(JF3:JF42=GF7)*JI3:JI42)+SUMPRODUCT((JC3:JC42=GF6)*(JF3:JF42=GF8)*JI3:JI42)+SUMPRODUCT((JC3:JC42=GF6)*(JF3:JF42=GF5)*JI3:JI42)+SUMPRODUCT((JC3:JC42=GF7)*(JF3:JF42=GF6)*JJ3:JJ42)+SUMPRODUCT((JC3:JC42=GF8)*(JF3:JF42=GF6)*JJ3:JJ42)+SUMPRODUCT((JC3:JC42=GF5)*(JF3:JF42=GF6)*JJ3:JJ42)</f>
        <v>0</v>
      </c>
      <c r="GT6" s="75">
        <f ca="1">SUMPRODUCT((JC3:JC42=GF6)*(JF3:JF42=GF7)*JK3:JK42)+SUMPRODUCT((JC3:JC42=GF6)*(JF3:JF42=GF8)*JK3:JK42)+SUMPRODUCT((JC3:JC42=GF6)*(JF3:JF42=GF5)*JK3:JK42)+SUMPRODUCT((JC3:JC42=GF7)*(JF3:JF42=GF6)*JL3:JL42)+SUMPRODUCT((JC3:JC42=GF8)*(JF3:JF42=GF6)*JL3:JL42)+SUMPRODUCT((JC3:JC42=GF5)*(JF3:JF42=GF6)*JL3:JL42)</f>
        <v>0</v>
      </c>
      <c r="GU6" s="75">
        <f ca="1">GG6*4+GH6*2+GS6+GT6</f>
        <v>0</v>
      </c>
      <c r="GV6" s="75" t="str">
        <f ca="1">IF(GF6&lt;&gt;"",RANK(GU6,GU5:GU8),"")</f>
        <v/>
      </c>
      <c r="GW6" s="75">
        <f ca="1">SUMPRODUCT((GU5:GU8=GU6)*(GL5:GL8&gt;GL6))</f>
        <v>0</v>
      </c>
      <c r="GX6" s="75">
        <f ca="1">SUMPRODUCT((GU5:GU8=GU6)*(GL5:GL8=GL6)*(GO5:GO8&gt;GO6))</f>
        <v>0</v>
      </c>
      <c r="GY6" s="75">
        <f ca="1">SUMPRODUCT((GU4:GU8=GU6)*(GL4:GL8=GL6)*(GO4:GO8=GO6)*(GP4:GP8&gt;GP6))</f>
        <v>0</v>
      </c>
      <c r="GZ6" s="75">
        <f ca="1">SUMPRODUCT((GU4:GU8=GU6)*(GL4:GL8=GL6)*(GO4:GO8=GO6)*(GP4:GP8=GP6)*(GQ4:GQ8&gt;GQ6))</f>
        <v>0</v>
      </c>
      <c r="HA6" s="75">
        <f ca="1">SUMPRODUCT((GU4:GU8=GU6)*(GL4:GL8=GL6)*(GO4:GO8=GO6)*(GP4:GP8=GP6)*(GQ4:GQ8=GQ6)*(GR4:GR8&gt;GR6))</f>
        <v>0</v>
      </c>
      <c r="HB6" s="75" t="str">
        <f t="shared" ref="HB6:HB8" ca="1" si="41">IF(GF6&lt;&gt;"",SUM(GV6:HA6)+1,"")</f>
        <v/>
      </c>
      <c r="HC6" s="75" t="str">
        <f ca="1">IF(GF6&lt;&gt;"",INDEX(GF5:GF8,MATCH(3,HB5:HB8,0),0),"")</f>
        <v/>
      </c>
      <c r="HD6" s="75" t="str">
        <f ca="1">IF(FE4&lt;&gt;"",FE4,"")</f>
        <v/>
      </c>
      <c r="HE6" s="75">
        <f ca="1">SUMPRODUCT((JC3:JC42=HD6)*(JF3:JF42=HD7)*(JM3:JM42="W"))+SUMPRODUCT((JC3:JC42=HD6)*(JF3:JF42=HD8)*(JM3:JM42="W"))+SUMPRODUCT((JC3:JC42=HD6)*(JF3:JF42=HD9)*(JM3:JM42="W"))+SUMPRODUCT((JC3:JC42=HD7)*(JF3:JF42=HD6)*(JN3:JN42="W"))+SUMPRODUCT((JC3:JC42=HD8)*(JF3:JF42=HD6)*(JN3:JN42="W"))+SUMPRODUCT((JC3:JC42=HD9)*(JF3:JF42=HD6)*(JN3:JN42="W"))</f>
        <v>0</v>
      </c>
      <c r="HF6" s="75">
        <f ca="1">SUMPRODUCT((JC3:JC42=HD6)*(JF3:JF42=HD7)*(JM3:JM42="D"))+SUMPRODUCT((JC3:JC42=HD6)*(JF3:JF42=HD8)*(JM3:JM42="D"))+SUMPRODUCT((JC3:JC42=HD6)*(JF3:JF42=HD9)*(JM3:JM42="D"))+SUMPRODUCT((JC3:JC42=HD7)*(JF3:JF42=HD6)*(JM3:JM42="D"))+SUMPRODUCT((JC3:JC42=HD8)*(JF3:JF42=HD6)*(JM3:JM42="D"))+SUMPRODUCT((JC3:JC42=HD9)*(JF3:JF42=HD6)*(JM3:JM42="D"))</f>
        <v>0</v>
      </c>
      <c r="HG6" s="75">
        <f ca="1">SUMPRODUCT((JC3:JC42=HD6)*(JF3:JF42=HD7)*(JM3:JM42="L"))+SUMPRODUCT((JC3:JC42=HD6)*(JF3:JF42=HD8)*(JM3:JM42="L"))+SUMPRODUCT((JC3:JC42=HD6)*(JF3:JF42=HD9)*(JM3:JM42="L"))+SUMPRODUCT((JC3:JC42=HD7)*(JF3:JF42=HD6)*(JN3:JN42="L"))+SUMPRODUCT((JC3:JC42=HD8)*(JF3:JF42=HD6)*(JN3:JN42="L"))+SUMPRODUCT((JC3:JC42=HD9)*(JF3:JF42=HD6)*(JN3:JN42="L"))</f>
        <v>0</v>
      </c>
      <c r="HH6" s="75">
        <f ca="1">IF(HD6&lt;&gt;"",VLOOKUP(HD6,EI4:EM29,5,FALSE),0)</f>
        <v>0</v>
      </c>
      <c r="HI6" s="75">
        <f ca="1">IF(HD6&lt;&gt;"",VLOOKUP(HD6,EI4:EN29,6,FALSE),0)</f>
        <v>0</v>
      </c>
      <c r="HJ6" s="75">
        <f ca="1">HH6-HI6+1000</f>
        <v>1000</v>
      </c>
      <c r="HK6" s="75">
        <f ca="1">IF(HD6&lt;&gt;"",VLOOKUP(HD6,EI4:EP29,8,FALSE),0)</f>
        <v>0</v>
      </c>
      <c r="HL6" s="75">
        <f ca="1">IF(HD6&lt;&gt;"",VLOOKUP(HD6,EI4:EQ29,9,FALSE),0)</f>
        <v>0</v>
      </c>
      <c r="HM6" s="75">
        <f ca="1">HK6-HL6+1000</f>
        <v>1000</v>
      </c>
      <c r="HN6" s="75" t="str">
        <f ca="1">IF(HD6&lt;&gt;"",VLOOKUP(HD6,EI4:EM8,5,FALSE),"")</f>
        <v/>
      </c>
      <c r="HO6" s="75" t="str">
        <f ca="1">IF(HD6&lt;&gt;"",VLOOKUP(HD6,EI4:EP8,8,FALSE),"")</f>
        <v/>
      </c>
      <c r="HP6" s="75" t="str">
        <f ca="1">IF(HD6&lt;&gt;"",VLOOKUP(HD6,EI4:EW8,15,FALSE),"")</f>
        <v/>
      </c>
      <c r="HQ6" s="75">
        <f ca="1">SUMPRODUCT((JC3:JC42=HD6)*(JF3:JF42=HD7)*JI3:JI42)+SUMPRODUCT((JC3:JC42=HD6)*(JF3:JF42=HD8)*JI3:JI42)+SUMPRODUCT((JC3:JC42=HD6)*(JF3:JF42=HD9)*JI3:JI42)+SUMPRODUCT((JC3:JC42=HD7)*(JF3:JF42=HD6)*JJ3:JJ42)+SUMPRODUCT((JC3:JC42=HD8)*(JF3:JF42=HD6)*JJ3:JJ42)+SUMPRODUCT((JC3:JC42=HD9)*(JF3:JF42=HD6)*JJ3:JJ42)</f>
        <v>0</v>
      </c>
      <c r="HR6" s="75">
        <f ca="1">SUMPRODUCT((JC3:JC42=HD6)*(JF3:JF42=HD7)*JK3:JK42)+SUMPRODUCT((JC3:JC42=HD6)*(JF3:JF42=HD8)*JK3:JK42)+SUMPRODUCT((JC3:JC42=HD6)*(JF3:JF42=HD9)*JK3:JK42)+SUMPRODUCT((JC3:JC42=HD7)*(JF3:JF42=HD6)*JL3:JL42)+SUMPRODUCT((JC3:JC42=HD8)*(JF3:JF42=HD6)*JL3:JL42)+SUMPRODUCT((JC3:JC42=HD9)*(JF3:JF42=HD6)*JL3:JL42)</f>
        <v>0</v>
      </c>
      <c r="HS6" s="75">
        <f ca="1">HE6*4+HF6*2+HQ6+HR6</f>
        <v>0</v>
      </c>
      <c r="HT6" s="75" t="str">
        <f ca="1">IF(HD6&lt;&gt;"",RANK(HS6,HS6:HS9),"")</f>
        <v/>
      </c>
      <c r="HU6" s="75">
        <f ca="1">SUMPRODUCT((HS6:HS9=HS6)*(HJ6:HJ9&gt;HJ6))</f>
        <v>0</v>
      </c>
      <c r="HV6" s="75">
        <f ca="1">SUMPRODUCT((HS6:HS9=HS6)*(HJ6:HJ9=HJ6)*(HM6:HM9&gt;HM6))</f>
        <v>0</v>
      </c>
      <c r="HW6" s="75">
        <f ca="1">SUMPRODUCT((HS4:HS8=HS6)*(HJ4:HJ8=HJ6)*(HM4:HM8=HM6)*(HN4:HN8&gt;HN6))</f>
        <v>0</v>
      </c>
      <c r="HX6" s="75">
        <f ca="1">SUMPRODUCT((HS4:HS8=HS6)*(HJ4:HJ8=HJ6)*(HM4:HM8=HM6)*(HN4:HN8=HN6)*(HO4:HO8&gt;HO6))</f>
        <v>0</v>
      </c>
      <c r="HY6" s="75">
        <f ca="1">SUMPRODUCT((HS4:HS8=HS6)*(HJ4:HJ8=HJ6)*(HM4:HM8=HM6)*(HN4:HN8=HN6)*(HO4:HO8=HO6)*(HP4:HP8&gt;HP6))</f>
        <v>0</v>
      </c>
      <c r="HZ6" s="75" t="str">
        <f ca="1">IF(HD6&lt;&gt;"",SUM(HT6:HY6)+2,"")</f>
        <v/>
      </c>
      <c r="IA6" s="75" t="str">
        <f ca="1">IF(HD6&lt;&gt;"",INDEX(HD6:HD8,MATCH(3,HZ6:HZ8,0),0),"")</f>
        <v/>
      </c>
      <c r="IZ6" s="75" t="str">
        <f ca="1">IF(IA6&lt;&gt;"",IA6,IF(HC6&lt;&gt;"",HC6,IF(GE6&lt;&gt;"",GE6,FA6)))</f>
        <v>Wales</v>
      </c>
      <c r="JA6" s="75">
        <v>3</v>
      </c>
      <c r="JB6" s="75">
        <v>4</v>
      </c>
      <c r="JC6" s="75" t="str">
        <f t="shared" si="4"/>
        <v>South Africa</v>
      </c>
      <c r="JD6" s="75" t="str">
        <f ca="1">IF(OFFSET('Prediction Sheet'!$W16,0,JD$1)&lt;&gt;"",OFFSET('Prediction Sheet'!$W16,0,JD$1),"")</f>
        <v/>
      </c>
      <c r="JE6" s="75" t="str">
        <f ca="1">IF(OFFSET('Prediction Sheet'!$Y16,0,JD$1)&lt;&gt;"",OFFSET('Prediction Sheet'!$Y16,0,JD$1),"")</f>
        <v/>
      </c>
      <c r="JF6" s="75" t="str">
        <f t="shared" si="5"/>
        <v>Japan</v>
      </c>
      <c r="JG6" s="75" t="str">
        <f ca="1">IF(OFFSET('Prediction Sheet'!$AA16,0,JF$1)&lt;&gt;"",OFFSET('Prediction Sheet'!$AA16,0,JF$1),"")</f>
        <v/>
      </c>
      <c r="JH6" s="75" t="str">
        <f ca="1">IF(OFFSET('Prediction Sheet'!$AC16,0,JG$1)&lt;&gt;"",OFFSET('Prediction Sheet'!$AC16,0,JG$1),"")</f>
        <v/>
      </c>
      <c r="JI6" s="75">
        <f t="shared" ca="1" si="6"/>
        <v>0</v>
      </c>
      <c r="JJ6" s="75">
        <f t="shared" ca="1" si="7"/>
        <v>0</v>
      </c>
      <c r="JK6" s="75">
        <f t="shared" ca="1" si="8"/>
        <v>0</v>
      </c>
      <c r="JL6" s="75">
        <f t="shared" ca="1" si="9"/>
        <v>0</v>
      </c>
      <c r="JM6" s="75" t="str">
        <f t="shared" ca="1" si="10"/>
        <v/>
      </c>
      <c r="JN6" s="75" t="str">
        <f t="shared" ca="1" si="11"/>
        <v/>
      </c>
    </row>
    <row r="7" spans="1:274" x14ac:dyDescent="0.2">
      <c r="A7" s="75">
        <f>VLOOKUP(B7,DS4:DT8,2,FALSE)</f>
        <v>2</v>
      </c>
      <c r="B7" s="75" t="s">
        <v>29</v>
      </c>
      <c r="C7" s="75">
        <f t="shared" si="12"/>
        <v>0</v>
      </c>
      <c r="D7" s="75">
        <f t="shared" si="13"/>
        <v>0</v>
      </c>
      <c r="E7" s="75">
        <f t="shared" si="14"/>
        <v>0</v>
      </c>
      <c r="F7" s="75">
        <f>SUMIF($DV$3:$DV$60,B7,$DW$3:$DW$60)+SUMIF($DY$3:$DY$60,B7,$DX$3:$DX$60)</f>
        <v>0</v>
      </c>
      <c r="G7" s="75">
        <f>SUMIF($DY$3:$DY$60,B7,$DW$3:$DW$60)+SUMIF($DV$3:$DV$60,B7,$DX$3:$DX$60)</f>
        <v>0</v>
      </c>
      <c r="H7" s="75">
        <f t="shared" si="15"/>
        <v>1000</v>
      </c>
      <c r="I7" s="75">
        <f>SUMIF(Tournament!$H$13:$H$52,B7,Tournament!$O$13:$O$52)+SUMIF(Tournament!$N$13:$N$52,B7,Tournament!$Q$13:$Q$52)</f>
        <v>0</v>
      </c>
      <c r="J7" s="75">
        <f>SUMIF(Tournament!$N$13:$N$52,B7,Tournament!$O$13:$O$52)+SUMIF(Tournament!$H$13:$H$52,B7,Tournament!$Q$13:$Q$52)</f>
        <v>0</v>
      </c>
      <c r="K7" s="75">
        <f t="shared" si="16"/>
        <v>1000</v>
      </c>
      <c r="L7" s="75">
        <f t="shared" si="17"/>
        <v>0</v>
      </c>
      <c r="M7" s="75">
        <f>SUMIF(DV:DV,B7,EB:EB)+SUMIF(DY:DY,B7,EC:EC)</f>
        <v>4</v>
      </c>
      <c r="N7" s="75">
        <f>SUMIF(DV:DV,B7,ED:ED)+SUMIF(DY:DY,B7,EE:EE)</f>
        <v>0</v>
      </c>
      <c r="O7" s="75">
        <f t="shared" si="18"/>
        <v>4</v>
      </c>
      <c r="P7" s="75">
        <v>10</v>
      </c>
      <c r="Q7" s="75">
        <f t="shared" si="19"/>
        <v>1</v>
      </c>
      <c r="S7" s="75">
        <f>RANK(O7,$O$4:$O$8)+COUNTIF($O$4:O7,O7)-1</f>
        <v>4</v>
      </c>
      <c r="T7" s="75" t="str">
        <f>INDEX($B$4:$B$8,MATCH(4,$S$4:$S$8,0),0)</f>
        <v>Fiji</v>
      </c>
      <c r="U7" s="75">
        <f t="shared" si="20"/>
        <v>1</v>
      </c>
      <c r="V7" s="75" t="str">
        <f>IF(AND(V6&lt;&gt;"",U7=1),T7,"")</f>
        <v>Fiji</v>
      </c>
      <c r="W7" s="75" t="str">
        <f>IF(AND(W6&lt;&gt;"",U8=2),T8,"")</f>
        <v/>
      </c>
      <c r="AA7" s="75" t="str">
        <f t="shared" si="21"/>
        <v>Fiji</v>
      </c>
      <c r="AB7" s="75">
        <f>SUMPRODUCT((DV3:DV42=AA7)*(DY3:DY42=AA8)*(EF3:EF42="W"))+SUMPRODUCT((DV3:DV42=AA7)*(DY3:DY42=AA4)*(EF3:EF42="W"))+SUMPRODUCT((DV3:DV42=AA7)*(DY3:DY42=AA5)*(EF3:EF42="W"))+SUMPRODUCT((DV3:DV42=AA7)*(DY3:DY42=AA6)*(EF3:EF42="W"))+SUMPRODUCT((DV3:DV42=AA8)*(DY3:DY42=AA7)*(EG3:EG42="W"))+SUMPRODUCT((DV3:DV42=AA4)*(DY3:DY42=AA7)*(EG3:EG42="W"))+SUMPRODUCT((DV3:DV42=AA5)*(DY3:DY42=AA7)*(EG3:EG42="W"))+SUMPRODUCT((DV3:DV42=AA6)*(DY3:DY42=AA7)*(EG3:EG42="W"))</f>
        <v>0</v>
      </c>
      <c r="AC7" s="75">
        <f>SUMPRODUCT((DV3:DV42=AA7)*(DY3:DY42=AA8)*(EF3:EF42="D"))+SUMPRODUCT((DV3:DV42=AA7)*(DY3:DY42=AA4)*(EF3:EF42="D"))+SUMPRODUCT((DV3:DV42=AA7)*(DY3:DY42=AA5)*(EF3:EF42="D"))+SUMPRODUCT((DV3:DV42=AA7)*(DY3:DY42=AA6)*(EF3:EF42="D"))+SUMPRODUCT((DV3:DV42=AA8)*(DY3:DY42=AA7)*(EF3:EF42="D"))+SUMPRODUCT((DV3:DV42=AA4)*(DY3:DY42=AA7)*(EF3:EF42="D"))+SUMPRODUCT((DV3:DV42=AA5)*(DY3:DY42=AA7)*(EF3:EF42="D"))+SUMPRODUCT((DV3:DV42=AA6)*(DY3:DY42=AA7)*(EF3:EF42="D"))</f>
        <v>0</v>
      </c>
      <c r="AD7" s="75">
        <f>SUMPRODUCT((DV3:DV42=AA7)*(DY3:DY42=AA8)*(EF3:EF42="L"))+SUMPRODUCT((DV3:DV42=AA7)*(DY3:DY42=AA4)*(EF3:EF42="L"))+SUMPRODUCT((DV3:DV42=AA7)*(DY3:DY42=AA5)*(EF3:EF42="L"))+SUMPRODUCT((DV3:DV42=AA7)*(DY3:DY42=AA6)*(EF3:EF42="L"))+SUMPRODUCT((DV3:DV42=AA8)*(DY3:DY42=AA7)*(EG3:EG42="L"))+SUMPRODUCT((DV3:DV42=AA4)*(DY3:DY42=AA7)*(EG3:EG42="L"))+SUMPRODUCT((DV3:DV42=AA5)*(DY3:DY42=AA7)*(EG3:EG42="L"))+SUMPRODUCT((DV3:DV42=AA6)*(DY3:DY42=AA7)*(EG3:EG42="L"))</f>
        <v>0</v>
      </c>
      <c r="AE7" s="75">
        <f>IF(AA7&lt;&gt;"",VLOOKUP(AA7,B4:F29,5,FALSE),0)</f>
        <v>0</v>
      </c>
      <c r="AF7" s="75">
        <f>IF(AA7&lt;&gt;"",VLOOKUP(AA7,B4:G29,6,FALSE),0)</f>
        <v>0</v>
      </c>
      <c r="AG7" s="75">
        <f>AE7-AF7+1000</f>
        <v>1000</v>
      </c>
      <c r="AH7" s="75">
        <f>IF(AA7&lt;&gt;"",VLOOKUP(AA7,B4:I29,8,FALSE),0)</f>
        <v>0</v>
      </c>
      <c r="AI7" s="75">
        <f>IF(AA7&lt;&gt;"",VLOOKUP(AA7,B4:J29,9,FALSE),0)</f>
        <v>0</v>
      </c>
      <c r="AJ7" s="75">
        <f>AH7-AI7+1000</f>
        <v>1000</v>
      </c>
      <c r="AK7" s="75">
        <f>IF(AA7&lt;&gt;"",VLOOKUP(AA7,B4:F8,5,FALSE),"")</f>
        <v>0</v>
      </c>
      <c r="AL7" s="75">
        <f>IF(AA7&lt;&gt;"",VLOOKUP(AA7,B4:I8,8,FALSE),"")</f>
        <v>0</v>
      </c>
      <c r="AM7" s="75">
        <f>IF(AA7&lt;&gt;"",VLOOKUP(AA7,B4:P8,15,FALSE),"")</f>
        <v>10</v>
      </c>
      <c r="AN7" s="75">
        <f>SUMPRODUCT((DV3:DV42=AA7)*(DY3:DY42=AA8)*EB3:EB42)+SUMPRODUCT((DV3:DV42=AA7)*(DY3:DY42=AA4)*EB3:EB42)+SUMPRODUCT((DV3:DV42=AA7)*(DY3:DY42=AA5)*EB3:EB42)+SUMPRODUCT((DV3:DV42=AA7)*(DY3:DY42=AA6)*EB3:EB42)+SUMPRODUCT((DV3:DV42=AA8)*(DY3:DY42=AA7)*EC3:EC42)+SUMPRODUCT((DV3:DV42=AA4)*(DY3:DY42=AA7)*EC3:EC42)+SUMPRODUCT((DV3:DV42=AA5)*(DY3:DY42=AA7)*EC3:EC42)+SUMPRODUCT((DV3:DV42=AA6)*(DY3:DY42=AA7)*EC3:EC42)</f>
        <v>4</v>
      </c>
      <c r="AO7" s="75">
        <f>SUMPRODUCT((DV3:DV42=AA7)*(DY3:DY42=AA8)*ED3:ED42)+SUMPRODUCT((DV3:DV42=AA7)*(DY3:DY42=AA4)*ED3:ED42)+SUMPRODUCT((DV3:DV42=AA7)*(DY3:DY42=AA5)*ED3:ED42)+SUMPRODUCT((DV3:DV42=AA7)*(DY3:DY42=AA6)*ED3:ED42)+SUMPRODUCT((DV3:DV42=AA8)*(DY3:DY42=AA7)*EE3:EE42)+SUMPRODUCT((DV3:DV42=AA4)*(DY3:DY42=AA7)*EE3:EE42)+SUMPRODUCT((DV3:DV42=AA5)*(DY3:DY42=AA7)*EE3:EE42)+SUMPRODUCT((DV3:DV42=AA6)*(DY3:DY42=AA7)*EE3:EE42)</f>
        <v>0</v>
      </c>
      <c r="AP7" s="75">
        <f>AB7*4+AC7*2+AN7+AO7</f>
        <v>4</v>
      </c>
      <c r="AQ7" s="75">
        <f>IF(AA7&lt;&gt;"",RANK(AP7,AP4:AP8),"")</f>
        <v>1</v>
      </c>
      <c r="AR7" s="75">
        <f>SUMPRODUCT((AP4:AP8=AP7)*(AG4:AG8&gt;AG7))</f>
        <v>0</v>
      </c>
      <c r="AS7" s="75">
        <f>SUMPRODUCT((AP4:AP8=AP7)*(AG4:AG8=AG7)*(AJ4:AJ8&gt;AJ7))</f>
        <v>0</v>
      </c>
      <c r="AT7" s="75">
        <f>SUMPRODUCT((AP4:AP8=AP7)*(AG4:AG8=AG7)*(AJ4:AJ8=AJ7)*(AK4:AK8&gt;AK7))</f>
        <v>0</v>
      </c>
      <c r="AU7" s="75">
        <f>SUMPRODUCT((AP4:AP8=AP7)*(AG4:AG8=AG7)*(AJ4:AJ8=AJ7)*(AK4:AK8=AK7)*(AL4:AL8&gt;AL7))</f>
        <v>0</v>
      </c>
      <c r="AV7" s="75">
        <f>SUMPRODUCT((AP4:AP8=AP7)*(AG4:AG8=AG7)*(AJ4:AJ8=AJ7)*(AK4:AK8=AK7)*(AL4:AL8=AL7)*(AM4:AM8&gt;AM7))</f>
        <v>1</v>
      </c>
      <c r="AW7" s="75">
        <f t="shared" si="22"/>
        <v>2</v>
      </c>
      <c r="AX7" s="75" t="str">
        <f>IF(AA7&lt;&gt;"",INDEX(AA4:AA8,MATCH(4,AW4:AW8,0),0),"")</f>
        <v>Australia</v>
      </c>
      <c r="AY7" s="75" t="str">
        <f>IF(W6&lt;&gt;"",W6,"")</f>
        <v/>
      </c>
      <c r="AZ7" s="75" t="str">
        <f>IF(AY7&lt;&gt;"",SUMPRODUCT((DV3:DV42=AY7)*(DY3:DY42=AY8)*(EF3:EF42="W"))+SUMPRODUCT((DV3:DV42=AY7)*(DY3:DY42=AY5)*(EF3:EF42="W"))+SUMPRODUCT((DV3:DV42=AY7)*(DY3:DY42=AY6)*(EF3:EF42="W"))+SUMPRODUCT((DV3:DV42=AY8)*(DY3:DY42=AY7)*(EG3:EG42="W"))+SUMPRODUCT((DV3:DV42=AY5)*(DY3:DY42=AY7)*(EG3:EG42="W"))+SUMPRODUCT((DV3:DV42=AY6)*(DY3:DY42=AY7)*(EG3:EG42="W")),"")</f>
        <v/>
      </c>
      <c r="BA7" s="75" t="str">
        <f>IF(AY7&lt;&gt;"",SUMPRODUCT((DV3:DV42=AY7)*(DY3:DY42=AY8)*(EF3:EF42="D"))+SUMPRODUCT((DV3:DV42=AY7)*(DY3:DY42=AY5)*(EF3:EF42="D"))+SUMPRODUCT((DV3:DV42=AY7)*(DY3:DY42=AY6)*(EF3:EF42="D"))+SUMPRODUCT((DV3:DV42=AY8)*(DY3:DY42=AY7)*(EF3:EF42="D"))+SUMPRODUCT((DV3:DV42=AY5)*(DY3:DY42=AY7)*(EF3:EF42="D"))+SUMPRODUCT((DV3:DV42=AY6)*(DY3:DY42=AY7)*(EF3:EF42="D")),"")</f>
        <v/>
      </c>
      <c r="BB7" s="75" t="str">
        <f>IF(AY7&lt;&gt;"",SUMPRODUCT((DV3:DV42=AY7)*(DY3:DY42=AY8)*(EF3:EF42="L"))+SUMPRODUCT((DV3:DV42=AY7)*(DY3:DY42=AY5)*(EF3:EF42="L"))+SUMPRODUCT((DV3:DV42=AY7)*(DY3:DY42=AY6)*(EF3:EF42="L"))+SUMPRODUCT((DV3:DV42=AY8)*(DY3:DY42=AY7)*(EG3:EG42="L"))+SUMPRODUCT((DV3:DV42=AY5)*(DY3:DY42=AY7)*(EG3:EG42="L"))+SUMPRODUCT((DV3:DV42=AY6)*(DY3:DY42=AY7)*(EG3:EG42="L")),"")</f>
        <v/>
      </c>
      <c r="BC7" s="75">
        <f>IF(AY7&lt;&gt;"",VLOOKUP(AY7,B4:F29,5,FALSE),0)</f>
        <v>0</v>
      </c>
      <c r="BD7" s="75">
        <f>IF(AY7&lt;&gt;"",VLOOKUP(AY7,B4:G29,6,FALSE),0)</f>
        <v>0</v>
      </c>
      <c r="BE7" s="75">
        <f>BC7-BD7+1000</f>
        <v>1000</v>
      </c>
      <c r="BF7" s="75">
        <f>IF(AY7&lt;&gt;"",VLOOKUP(AY7,B4:I29,8,FALSE),0)</f>
        <v>0</v>
      </c>
      <c r="BG7" s="75">
        <f>IF(AY7&lt;&gt;"",VLOOKUP(AY7,B4:J29,9,FALSE),0)</f>
        <v>0</v>
      </c>
      <c r="BH7" s="75" t="str">
        <f>IF(AY7&lt;&gt;"",BF7-BG7+1000,"")</f>
        <v/>
      </c>
      <c r="BI7" s="75" t="str">
        <f>IF(AY7&lt;&gt;"",VLOOKUP(AY7,B4:F8,5,FALSE),"")</f>
        <v/>
      </c>
      <c r="BJ7" s="75" t="str">
        <f>IF(AY7&lt;&gt;"",VLOOKUP(AY7,B4:I8,8,FALSE),"")</f>
        <v/>
      </c>
      <c r="BK7" s="75" t="str">
        <f>IF(AY7&lt;&gt;"",VLOOKUP(AY7,B4:P8,15,FALSE),"")</f>
        <v/>
      </c>
      <c r="BL7" s="75" t="str">
        <f>IF(AY7&lt;&gt;"",SUMPRODUCT((DV3:DV42=AY7)*(DY3:DY42=AY8)*EB3:EB42)+SUMPRODUCT((DV3:DV42=AY7)*(DY3:DY42=AY5)*EB3:EB42)+SUMPRODUCT((DV3:DV42=AY7)*(DY3:DY42=AY6)*EB3:EB42)+SUMPRODUCT((DV3:DV42=AY8)*(DY3:DY42=AY7)*EC3:EC42)+SUMPRODUCT((DV3:DV42=AY5)*(DY3:DY42=AY7)*EC3:EC42)+SUMPRODUCT((DV3:DV42=AY6)*(DY3:DY42=AY7)*EC3:EC42),"")</f>
        <v/>
      </c>
      <c r="BM7" s="75" t="str">
        <f>IF(AY7&lt;&gt;"",SUMPRODUCT((DV3:DV42=AY7)*(DY3:DY42=AY8)*ED3:ED42)+SUMPRODUCT((DV3:DV42=AY7)*(DY3:DY42=AY5)*ED3:ED42)+SUMPRODUCT((DV3:DV42=AY7)*(DY3:DY42=AY6)*ED3:ED42)+SUMPRODUCT((DV3:DV42=AY8)*(DY3:DY42=AY7)*EE3:EE42)+SUMPRODUCT((DV3:DV42=AY5)*(DY3:DY42=AY7)*EE3:EE42)+SUMPRODUCT((DV3:DV42=AY6)*(DY3:DY42=AY7)*EE3:EE42),"")</f>
        <v/>
      </c>
      <c r="BN7" s="75" t="str">
        <f>IF(AY7&lt;&gt;"",AZ7*4+BA7*2+BL7+BM7,"")</f>
        <v/>
      </c>
      <c r="BO7" s="75" t="str">
        <f>IF(AY7&lt;&gt;"",RANK(BN7,BN5:BN8),"")</f>
        <v/>
      </c>
      <c r="BP7" s="75">
        <f>SUMPRODUCT((BN5:BN8=BN7)*(BE5:BE8&gt;BE7))</f>
        <v>0</v>
      </c>
      <c r="BQ7" s="75">
        <f>SUMPRODUCT((BN5:BN8=BN7)*(BE5:BE8=BE7)*(BH5:BH8&gt;BH7))</f>
        <v>0</v>
      </c>
      <c r="BR7" s="75">
        <f>SUMPRODUCT((BN4:BN8=BN7)*(BE4:BE8=BE7)*(BH4:BH8=BH7)*(BI4:BI8&gt;BI7))</f>
        <v>0</v>
      </c>
      <c r="BS7" s="75">
        <f>SUMPRODUCT((BN4:BN8=BN7)*(BE4:BE8=BE7)*(BH4:BH8=BH7)*(BI4:BI8=BI7)*(BJ4:BJ8&gt;BJ7))</f>
        <v>0</v>
      </c>
      <c r="BT7" s="75">
        <f>SUMPRODUCT((BN4:BN8=BN7)*(BE4:BE8=BE7)*(BH4:BH8=BH7)*(BI4:BI8=BI7)*(BJ4:BJ8=BJ7)*(BK4:BK8&gt;BK7))</f>
        <v>0</v>
      </c>
      <c r="BU7" s="75" t="str">
        <f t="shared" si="39"/>
        <v/>
      </c>
      <c r="BV7" s="75" t="str">
        <f>IF(AY7&lt;&gt;"",INDEX(AY5:AY8,MATCH(4,BU5:BU8,0),0),"")</f>
        <v/>
      </c>
      <c r="BW7" s="75" t="str">
        <f>IF(X5&lt;&gt;"",X5,"")</f>
        <v/>
      </c>
      <c r="BX7" s="75">
        <f>SUMPRODUCT((DV3:DV42=BW7)*(DY3:DY42=BW8)*(EF3:EF42="W"))+SUMPRODUCT((DV3:DV42=BW7)*(DY3:DY42=BW9)*(EF3:EF42="W"))+SUMPRODUCT((DV3:DV42=BW7)*(DY3:DY42=BW6)*(EF3:EF42="W"))+SUMPRODUCT((DV3:DV42=BW8)*(DY3:DY42=BW7)*(EG3:EG42="W"))+SUMPRODUCT((DV3:DV42=BW9)*(DY3:DY42=BW7)*(EG3:EG42="W"))+SUMPRODUCT((DV3:DV42=BW6)*(DY3:DY42=BW7)*(EG3:EG42="W"))</f>
        <v>0</v>
      </c>
      <c r="BY7" s="75">
        <f>SUMPRODUCT((DV3:DV42=BW7)*(DY3:DY42=BW8)*(EF3:EF42="D"))+SUMPRODUCT((DV3:DV42=BW7)*(DY3:DY42=BW9)*(EF3:EF42="D"))+SUMPRODUCT((DV3:DV42=BW7)*(DY3:DY42=BW6)*(EF3:EF42="D"))+SUMPRODUCT((DV3:DV42=BW8)*(DY3:DY42=BW7)*(EF3:EF42="D"))+SUMPRODUCT((DV3:DV42=BW9)*(DY3:DY42=BW7)*(EF3:EF42="D"))+SUMPRODUCT((DV3:DV42=BW6)*(DY3:DY42=BW7)*(EF3:EF42="D"))</f>
        <v>0</v>
      </c>
      <c r="BZ7" s="75">
        <f>SUMPRODUCT((DV3:DV42=BW7)*(DY3:DY42=BW8)*(EF3:EF42="L"))+SUMPRODUCT((DV3:DV42=BW7)*(DY3:DY42=BW9)*(EF3:EF42="L"))+SUMPRODUCT((DV3:DV42=BW7)*(DY3:DY42=BW6)*(EF3:EF42="L"))+SUMPRODUCT((DV3:DV42=BW8)*(DY3:DY42=BW7)*(EG3:EG42="L"))+SUMPRODUCT((DV3:DV42=BW9)*(DY3:DY42=BW7)*(EG3:EG42="L"))+SUMPRODUCT((DV3:DV42=BW6)*(DY3:DY42=BW7)*(EG3:EG42="L"))</f>
        <v>0</v>
      </c>
      <c r="CA7" s="75">
        <f>IF(BW7&lt;&gt;"",VLOOKUP(BW7,B4:F29,5,FALSE),0)</f>
        <v>0</v>
      </c>
      <c r="CB7" s="75">
        <f>IF(BW7&lt;&gt;"",VLOOKUP(BW7,B4:G29,6,FALSE),0)</f>
        <v>0</v>
      </c>
      <c r="CC7" s="75">
        <f>CA7-CB7+1000</f>
        <v>1000</v>
      </c>
      <c r="CD7" s="75">
        <f>IF(BW7&lt;&gt;"",VLOOKUP(BW7,B4:I29,8,FALSE),0)</f>
        <v>0</v>
      </c>
      <c r="CE7" s="75">
        <f>IF(BW7&lt;&gt;"",VLOOKUP(BW7,B4:J29,9,FALSE),0)</f>
        <v>0</v>
      </c>
      <c r="CF7" s="75">
        <f>CD7-CE7+1000</f>
        <v>1000</v>
      </c>
      <c r="CG7" s="75" t="str">
        <f>IF(BW7&lt;&gt;"",VLOOKUP(BW7,B4:F8,5,FALSE),"")</f>
        <v/>
      </c>
      <c r="CH7" s="75" t="str">
        <f>IF(BW7&lt;&gt;"",VLOOKUP(BW7,B4:I8,8,FALSE),"")</f>
        <v/>
      </c>
      <c r="CI7" s="75" t="str">
        <f>IF(BW7&lt;&gt;"",VLOOKUP(BW7,B4:P8,15,FALSE),"")</f>
        <v/>
      </c>
      <c r="CJ7" s="75">
        <f>SUMPRODUCT((DV3:DV42=BW7)*(DY3:DY42=BW8)*EB3:EB42)+SUMPRODUCT((DV3:DV42=BW7)*(DY3:DY42=BW9)*EB3:EB42)+SUMPRODUCT((DV3:DV42=BW7)*(DY3:DY42=BW6)*EB3:EB42)+SUMPRODUCT((DV3:DV42=BW8)*(DY3:DY42=BW7)*EC3:EC42)+SUMPRODUCT((DV3:DV42=BW9)*(DY3:DY42=BW7)*EC3:EC42)+SUMPRODUCT((DV3:DV42=BW6)*(DY3:DY42=BW7)*EC3:EC42)</f>
        <v>0</v>
      </c>
      <c r="CK7" s="75">
        <f>SUMPRODUCT((DV3:DV42=BW7)*(DY3:DY42=BW8)*ED3:ED42)+SUMPRODUCT((DV3:DV42=BW7)*(DY3:DY42=BW9)*ED3:ED42)+SUMPRODUCT((DV3:DV42=BW7)*(DY3:DY42=BW6)*ED3:ED42)+SUMPRODUCT((DV3:DV42=BW8)*(DY3:DY42=BW7)*EE3:EE42)+SUMPRODUCT((DV3:DV42=BW9)*(DY3:DY42=BW7)*EE3:EE42)+SUMPRODUCT((DV3:DV42=BW6)*(DY3:DY42=BW7)*EE3:EE42)</f>
        <v>0</v>
      </c>
      <c r="CL7" s="75">
        <f>BX7*4+BY7*2+CJ7+CK7</f>
        <v>0</v>
      </c>
      <c r="CM7" s="75" t="str">
        <f>IF(BW7&lt;&gt;"",RANK(CL7,CL6:CL9),"")</f>
        <v/>
      </c>
      <c r="CN7" s="75">
        <f>SUMPRODUCT((CL6:CL9=CL7)*(CC6:CC9&gt;CC7))</f>
        <v>0</v>
      </c>
      <c r="CO7" s="75">
        <f>SUMPRODUCT((CL6:CL9=CL7)*(CC6:CC9=CC7)*(CF6:CF9&gt;CF7))</f>
        <v>0</v>
      </c>
      <c r="CP7" s="75">
        <f>SUMPRODUCT((CL4:CL8=CL7)*(CC4:CC8=CC7)*(CF4:CF8=CF7)*(CG4:CG8&gt;CG7))</f>
        <v>0</v>
      </c>
      <c r="CQ7" s="75">
        <f>SUMPRODUCT((CL4:CL8=CL7)*(CC4:CC8=CC7)*(CF4:CF8=CF7)*(CG4:CG8=CG7)*(CH4:CH8&gt;CH7))</f>
        <v>0</v>
      </c>
      <c r="CR7" s="75">
        <f>SUMPRODUCT((CL4:CL8=CL7)*(CC4:CC8=CC7)*(CF4:CF8=CF7)*(CG4:CG8=CG7)*(CH4:CH8=CH7)*(CI4:CI8&gt;CI7))</f>
        <v>0</v>
      </c>
      <c r="CS7" s="75" t="str">
        <f t="shared" ref="CS7:CS8" si="42">IF(BW7&lt;&gt;"",SUM(CM7:CR7)+2,"")</f>
        <v/>
      </c>
      <c r="CT7" s="75" t="str">
        <f>IF(BW7&lt;&gt;"",INDEX(BW6:BW8,MATCH(4,CS6:CS8,0),0),"")</f>
        <v/>
      </c>
      <c r="CU7" s="75" t="str">
        <f>IF(Y4&lt;&gt;"",Y4,"")</f>
        <v/>
      </c>
      <c r="CV7" s="75">
        <f>SUMPRODUCT((DV3:DV42=CU7)*(DY3:DY42=CU8)*(EF3:EF42="W"))+SUMPRODUCT((DV3:DV42=CU7)*(DY3:DY42=CU9)*(EF3:EF42="W"))+SUMPRODUCT((DV3:DV42=CU7)*(DY3:DY42=CU10)*(EF3:EF42="W"))+SUMPRODUCT((DV3:DV42=CU8)*(DY3:DY42=CU7)*(EG3:EG42="W"))+SUMPRODUCT((DV3:DV42=CU9)*(DY3:DY42=CU7)*(EG3:EG42="W"))+SUMPRODUCT((DV3:DV42=CU10)*(DY3:DY42=CU7)*(EG3:EG42="W"))</f>
        <v>0</v>
      </c>
      <c r="CW7" s="75">
        <f>SUMPRODUCT((DV3:DV42=CU7)*(DY3:DY42=CU8)*(EF3:EF42="D"))+SUMPRODUCT((DV3:DV42=CU7)*(DY3:DY42=CU9)*(EF3:EF42="D"))+SUMPRODUCT((DV3:DV42=CU7)*(DY3:DY42=CU10)*(EF3:EF42="D"))+SUMPRODUCT((DV3:DV42=CU8)*(DY3:DY42=CU7)*(EF3:EF42="D"))+SUMPRODUCT((DV3:DV42=CU9)*(DY3:DY42=CU7)*(EF3:EF42="D"))+SUMPRODUCT((DV3:DV42=CU10)*(DY3:DY42=CU7)*(EF3:EF42="D"))</f>
        <v>0</v>
      </c>
      <c r="CX7" s="75">
        <f>SUMPRODUCT((DV3:DV42=CU7)*(DY3:DY42=CU8)*(EF3:EF42="L"))+SUMPRODUCT((DV3:DV42=CU7)*(DY3:DY42=CU9)*(EF3:EF42="L"))+SUMPRODUCT((DV3:DV42=CU7)*(DY3:DY42=CU10)*(EF3:EF42="L"))+SUMPRODUCT((DV3:DV42=CU8)*(DY3:DY42=CU7)*(EG3:EG42="L"))+SUMPRODUCT((DV3:DV42=CU9)*(DY3:DY42=CU7)*(EG3:EG42="L"))+SUMPRODUCT((DV3:DV42=CU10)*(DY3:DY42=CU7)*(EG3:EG42="L"))</f>
        <v>0</v>
      </c>
      <c r="CY7" s="75">
        <f>IF(CU7&lt;&gt;"",VLOOKUP(CU7,B4:F29,5,FALSE),0)</f>
        <v>0</v>
      </c>
      <c r="CZ7" s="75">
        <f>IF(CU7&lt;&gt;"",VLOOKUP(CU7,B4:G29,6,FALSE),0)</f>
        <v>0</v>
      </c>
      <c r="DA7" s="75">
        <f>CY7-CZ7+1000</f>
        <v>1000</v>
      </c>
      <c r="DB7" s="75">
        <f>IF(CU7&lt;&gt;"",VLOOKUP(CU7,B4:I29,8,FALSE),0)</f>
        <v>0</v>
      </c>
      <c r="DC7" s="75">
        <f>IF(CU7&lt;&gt;"",VLOOKUP(CU7,B4:J29,9,FALSE),0)</f>
        <v>0</v>
      </c>
      <c r="DD7" s="75">
        <f>DB7-DC7+1000</f>
        <v>1000</v>
      </c>
      <c r="DE7" s="75" t="str">
        <f>IF(CU7&lt;&gt;"",VLOOKUP(CU7,B4:F8,5,FALSE),"")</f>
        <v/>
      </c>
      <c r="DF7" s="75" t="str">
        <f>IF(CU7&lt;&gt;"",VLOOKUP(CU7,B4:I8,8,FALSE),"")</f>
        <v/>
      </c>
      <c r="DG7" s="75" t="str">
        <f>IF(CU7&lt;&gt;"",VLOOKUP(CU7,B4:P8,15,FALSE),"")</f>
        <v/>
      </c>
      <c r="DH7" s="75">
        <f>SUMPRODUCT((DV3:DV42=CU7)*(DY3:DY42=CU8)*EB3:EB42)+SUMPRODUCT((DV3:DV42=CU7)*(DY3:DY42=CU9)*EB3:EB42)+SUMPRODUCT((DV3:DV42=CU7)*(DY3:DY42=CU10)*EB3:EB42)+SUMPRODUCT((DV3:DV42=CU8)*(DY3:DY42=CU7)*EC3:EC42)+SUMPRODUCT((DV3:DV42=CU9)*(DY3:DY42=CU7)*EC3:EC42)+SUMPRODUCT((DV3:DV42=CU10)*(DY3:DY42=CU7)*EC3:EC42)</f>
        <v>0</v>
      </c>
      <c r="DI7" s="75">
        <f>SUMPRODUCT((DV3:DV42=CU7)*(DY3:DY42=CU8)*ED3:ED42)+SUMPRODUCT((DV3:DV42=CU7)*(DY3:DY42=CU9)*ED3:ED42)+SUMPRODUCT((DV3:DV42=CU7)*(DY3:DY42=CU10)*ED3:ED42)+SUMPRODUCT((DV3:DV42=CU8)*(DY3:DY42=CU7)*EE3:EE42)+SUMPRODUCT((DV3:DV42=CU9)*(DY3:DY42=CU7)*EE3:EE42)+SUMPRODUCT((DV3:DV42=CU10)*(DY3:DY42=CU7)*EE3:EE42)</f>
        <v>0</v>
      </c>
      <c r="DJ7" s="75">
        <f>CV7*4+CW7*2+DH7+DI7</f>
        <v>0</v>
      </c>
      <c r="DK7" s="75" t="str">
        <f>IF(CU7&lt;&gt;"",RANK(DJ7,DJ7:DJ10),"")</f>
        <v/>
      </c>
      <c r="DL7" s="75">
        <f>SUMPRODUCT((DJ7:DJ10=DJ7)*(DA7:DA10&gt;DA7))</f>
        <v>0</v>
      </c>
      <c r="DM7" s="75">
        <f>SUMPRODUCT((DJ7:DJ10=DJ7)*(DA7:DA10=DA7)*(DD7:DD10&gt;DD7))</f>
        <v>0</v>
      </c>
      <c r="DN7" s="75">
        <f>SUMPRODUCT((DJ4:DJ8=DJ7)*(DA4:DA8=DA7)*(DD4:DD8=DD7)*(DE4:DE8&gt;DE7))</f>
        <v>0</v>
      </c>
      <c r="DO7" s="75">
        <f>SUMPRODUCT((DJ4:DJ8=DJ7)*(DA4:DA8=DA7)*(DD4:DD8=DD7)*(DE4:DE8=DE7)*(DF4:DF8&gt;DF7))</f>
        <v>0</v>
      </c>
      <c r="DP7" s="75">
        <f>SUMPRODUCT((DJ4:DJ8=DJ7)*(DA4:DA8=DA7)*(DD4:DD8=DD7)*(DE4:DE8=DE7)*(DF4:DF8=DF7)*(DG4:DG8&gt;DG7))</f>
        <v>0</v>
      </c>
      <c r="DQ7" s="75" t="str">
        <f>IF(CU7&lt;&gt;"",SUM(DK7:DP7)+3,"")</f>
        <v/>
      </c>
      <c r="DR7" s="75" t="str">
        <f>IF(CU7&lt;&gt;"",IF(DQ7=4,CU7,CU8),"")</f>
        <v/>
      </c>
      <c r="DS7" s="75" t="str">
        <f>IF(DR7&lt;&gt;"",DR7,IF(CT7&lt;&gt;"",CT7,IF(BV7&lt;&gt;"",BV7,IF(AX7&lt;&gt;"",AX7,T7))))</f>
        <v>Australia</v>
      </c>
      <c r="DT7" s="75">
        <v>4</v>
      </c>
      <c r="DU7" s="75">
        <v>5</v>
      </c>
      <c r="DV7" s="75" t="str">
        <f>Tournament!H17</f>
        <v>France</v>
      </c>
      <c r="DW7" s="75">
        <f>IF(AND(Tournament!J17&lt;&gt;"",Tournament!L17&lt;&gt;""),Tournament!J17,0)</f>
        <v>0</v>
      </c>
      <c r="DX7" s="75">
        <f>IF(AND(Tournament!L17&lt;&gt;"",Tournament!J17&lt;&gt;""),Tournament!L17,0)</f>
        <v>0</v>
      </c>
      <c r="DY7" s="75" t="str">
        <f>Tournament!N17</f>
        <v>Italy</v>
      </c>
      <c r="DZ7" s="75">
        <f>IF(Tournament!O17&lt;&gt;"",Tournament!O17,0)</f>
        <v>0</v>
      </c>
      <c r="EA7" s="75">
        <f>IF(Tournament!Q17&lt;&gt;"",Tournament!Q17,0)</f>
        <v>0</v>
      </c>
      <c r="EB7" s="75">
        <f>IF(DW7&lt;&gt;"",IF(Tournament!O17&gt;3,1,0),0)</f>
        <v>1</v>
      </c>
      <c r="EC7" s="75">
        <f>IF(DX7&lt;&gt;"",IF(Tournament!Q17&gt;3,1,0),0)</f>
        <v>1</v>
      </c>
      <c r="ED7" s="75">
        <f t="shared" si="1"/>
        <v>0</v>
      </c>
      <c r="EE7" s="75">
        <f t="shared" si="2"/>
        <v>0</v>
      </c>
      <c r="EF7" s="75" t="str">
        <f>IF(AND(Tournament!J17&lt;&gt;"",Tournament!L17&lt;&gt;""),IF(DW7&gt;DX7,"W",IF(DW7=DX7,"D","L")),"")</f>
        <v/>
      </c>
      <c r="EG7" s="75" t="str">
        <f t="shared" si="3"/>
        <v/>
      </c>
      <c r="EH7" s="75">
        <f ca="1">VLOOKUP(EI7,IZ4:JA8,2,FALSE)</f>
        <v>2</v>
      </c>
      <c r="EI7" s="75" t="s">
        <v>29</v>
      </c>
      <c r="EJ7" s="75">
        <f t="shared" ca="1" si="23"/>
        <v>0</v>
      </c>
      <c r="EK7" s="75">
        <f t="shared" ca="1" si="24"/>
        <v>0</v>
      </c>
      <c r="EL7" s="75">
        <f t="shared" ca="1" si="25"/>
        <v>0</v>
      </c>
      <c r="EM7" s="75">
        <f t="shared" ca="1" si="26"/>
        <v>0</v>
      </c>
      <c r="EN7" s="75">
        <f t="shared" ca="1" si="27"/>
        <v>0</v>
      </c>
      <c r="EO7" s="75">
        <f t="shared" ca="1" si="28"/>
        <v>1000</v>
      </c>
      <c r="EP7" s="75">
        <f t="shared" ca="1" si="29"/>
        <v>0</v>
      </c>
      <c r="EQ7" s="75">
        <f t="shared" ca="1" si="30"/>
        <v>0</v>
      </c>
      <c r="ER7" s="75">
        <f t="shared" ca="1" si="31"/>
        <v>1000</v>
      </c>
      <c r="ES7" s="75">
        <f t="shared" ca="1" si="32"/>
        <v>0</v>
      </c>
      <c r="ET7" s="75">
        <f ca="1">SUMIF(JC:JC,EI7,JI:JI)+SUMIF(JF:JF,EI7,JJ:JJ)</f>
        <v>0</v>
      </c>
      <c r="EU7" s="75">
        <f ca="1">SUMIF(JC:JC,EI7,JK:JK)+SUMIF(JF:JF,EI7,JL:JL)</f>
        <v>0</v>
      </c>
      <c r="EV7" s="75">
        <f t="shared" ca="1" si="33"/>
        <v>0</v>
      </c>
      <c r="EW7" s="75">
        <v>10</v>
      </c>
      <c r="EX7" s="75">
        <f t="shared" ca="1" si="34"/>
        <v>1</v>
      </c>
      <c r="EZ7" s="75">
        <f ca="1">RANK(EV7,EV$4:EV$8)+COUNTIF(EV$4:EV7,EV7)-1</f>
        <v>4</v>
      </c>
      <c r="FA7" s="75" t="str">
        <f ca="1">INDEX(EI$4:EI$8,MATCH(4,EZ$4:EZ$8,0),0)</f>
        <v>Fiji</v>
      </c>
      <c r="FB7" s="75">
        <f t="shared" ca="1" si="35"/>
        <v>1</v>
      </c>
      <c r="FC7" s="75" t="str">
        <f ca="1">IF(AND(FC6&lt;&gt;"",FB7=1),FA7,"")</f>
        <v>Fiji</v>
      </c>
      <c r="FD7" s="75" t="str">
        <f ca="1">IF(AND(FD6&lt;&gt;"",FB8=2),FA8,"")</f>
        <v/>
      </c>
      <c r="FH7" s="75" t="str">
        <f t="shared" ca="1" si="36"/>
        <v>Fiji</v>
      </c>
      <c r="FI7" s="75">
        <f ca="1">SUMPRODUCT((JC3:JC42=FH7)*(JF3:JF42=FH8)*(JM3:JM42="W"))+SUMPRODUCT((JC3:JC42=FH7)*(JF3:JF42=FH4)*(JM3:JM42="W"))+SUMPRODUCT((JC3:JC42=FH7)*(JF3:JF42=FH5)*(JM3:JM42="W"))+SUMPRODUCT((JC3:JC42=FH7)*(JF3:JF42=FH6)*(JM3:JM42="W"))+SUMPRODUCT((JC3:JC42=FH8)*(JF3:JF42=FH7)*(JN3:JN42="W"))+SUMPRODUCT((JC3:JC42=FH4)*(JF3:JF42=FH7)*(JN3:JN42="W"))+SUMPRODUCT((JC3:JC42=FH5)*(JF3:JF42=FH7)*(JN3:JN42="W"))+SUMPRODUCT((JC3:JC42=FH6)*(JF3:JF42=FH7)*(JN3:JN42="W"))</f>
        <v>0</v>
      </c>
      <c r="FJ7" s="75">
        <f ca="1">SUMPRODUCT((JC3:JC42=FH7)*(JF3:JF42=FH8)*(JM3:JM42="D"))+SUMPRODUCT((JC3:JC42=FH7)*(JF3:JF42=FH4)*(JM3:JM42="D"))+SUMPRODUCT((JC3:JC42=FH7)*(JF3:JF42=FH5)*(JM3:JM42="D"))+SUMPRODUCT((JC3:JC42=FH7)*(JF3:JF42=FH6)*(JM3:JM42="D"))+SUMPRODUCT((JC3:JC42=FH8)*(JF3:JF42=FH7)*(JM3:JM42="D"))+SUMPRODUCT((JC3:JC42=FH4)*(JF3:JF42=FH7)*(JM3:JM42="D"))+SUMPRODUCT((JC3:JC42=FH5)*(JF3:JF42=FH7)*(JM3:JM42="D"))+SUMPRODUCT((JC3:JC42=FH6)*(JF3:JF42=FH7)*(JM3:JM42="D"))</f>
        <v>0</v>
      </c>
      <c r="FK7" s="75">
        <f ca="1">SUMPRODUCT((JC3:JC42=FH7)*(JF3:JF42=FH8)*(JM3:JM42="L"))+SUMPRODUCT((JC3:JC42=FH7)*(JF3:JF42=FH4)*(JM3:JM42="L"))+SUMPRODUCT((JC3:JC42=FH7)*(JF3:JF42=FH5)*(JM3:JM42="L"))+SUMPRODUCT((JC3:JC42=FH7)*(JF3:JF42=FH6)*(JM3:JM42="L"))+SUMPRODUCT((JC3:JC42=FH8)*(JF3:JF42=FH7)*(JN3:JN42="L"))+SUMPRODUCT((JC3:JC42=FH4)*(JF3:JF42=FH7)*(JN3:JN42="L"))+SUMPRODUCT((JC3:JC42=FH5)*(JF3:JF42=FH7)*(JN3:JN42="L"))+SUMPRODUCT((JC3:JC42=FH6)*(JF3:JF42=FH7)*(JN3:JN42="L"))</f>
        <v>0</v>
      </c>
      <c r="FL7" s="75">
        <f ca="1">IF(FH7&lt;&gt;"",VLOOKUP(FH7,EI4:EM29,5,FALSE),0)</f>
        <v>0</v>
      </c>
      <c r="FM7" s="75">
        <f ca="1">IF(FH7&lt;&gt;"",VLOOKUP(FH7,EI4:EN29,6,FALSE),0)</f>
        <v>0</v>
      </c>
      <c r="FN7" s="75">
        <f ca="1">FL7-FM7+1000</f>
        <v>1000</v>
      </c>
      <c r="FO7" s="75">
        <f ca="1">IF(FH7&lt;&gt;"",VLOOKUP(FH7,EI4:EP29,8,FALSE),0)</f>
        <v>0</v>
      </c>
      <c r="FP7" s="75">
        <f ca="1">IF(FH7&lt;&gt;"",VLOOKUP(FH7,EI4:EQ29,9,FALSE),0)</f>
        <v>0</v>
      </c>
      <c r="FQ7" s="75">
        <f ca="1">FO7-FP7+1000</f>
        <v>1000</v>
      </c>
      <c r="FR7" s="75">
        <f ca="1">IF(FH7&lt;&gt;"",VLOOKUP(FH7,EI4:EM8,5,FALSE),"")</f>
        <v>0</v>
      </c>
      <c r="FS7" s="75">
        <f ca="1">IF(FH7&lt;&gt;"",VLOOKUP(FH7,EI4:EP8,8,FALSE),"")</f>
        <v>0</v>
      </c>
      <c r="FT7" s="75">
        <f ca="1">IF(FH7&lt;&gt;"",VLOOKUP(FH7,EI4:EW8,15,FALSE),"")</f>
        <v>10</v>
      </c>
      <c r="FU7" s="75">
        <f ca="1">SUMPRODUCT((JC3:JC42=FH7)*(JF3:JF42=FH8)*JI3:JI42)+SUMPRODUCT((JC3:JC42=FH7)*(JF3:JF42=FH4)*JI3:JI42)+SUMPRODUCT((JC3:JC42=FH7)*(JF3:JF42=FH5)*JI3:JI42)+SUMPRODUCT((JC3:JC42=FH7)*(JF3:JF42=FH6)*JI3:JI42)+SUMPRODUCT((JC3:JC42=FH8)*(JF3:JF42=FH7)*JJ3:JJ42)+SUMPRODUCT((JC3:JC42=FH4)*(JF3:JF42=FH7)*JJ3:JJ42)+SUMPRODUCT((JC3:JC42=FH5)*(JF3:JF42=FH7)*JJ3:JJ42)+SUMPRODUCT((JC3:JC42=FH6)*(JF3:JF42=FH7)*JJ3:JJ42)</f>
        <v>0</v>
      </c>
      <c r="FV7" s="75">
        <f ca="1">SUMPRODUCT((JC3:JC42=FH7)*(JF3:JF42=FH8)*JK3:JK42)+SUMPRODUCT((JC3:JC42=FH7)*(JF3:JF42=FH4)*JK3:JK42)+SUMPRODUCT((JC3:JC42=FH7)*(JF3:JF42=FH5)*JK3:JK42)+SUMPRODUCT((JC3:JC42=FH7)*(JF3:JF42=FH6)*JK3:JK42)+SUMPRODUCT((JC3:JC42=FH8)*(JF3:JF42=FH7)*JL3:JL42)+SUMPRODUCT((JC3:JC42=FH4)*(JF3:JF42=FH7)*JL3:JL42)+SUMPRODUCT((JC3:JC42=FH5)*(JF3:JF42=FH7)*JL3:JL42)+SUMPRODUCT((JC3:JC42=FH6)*(JF3:JF42=FH7)*JL3:JL42)</f>
        <v>0</v>
      </c>
      <c r="FW7" s="75">
        <f ca="1">FI7*4+FJ7*2+FU7+FV7</f>
        <v>0</v>
      </c>
      <c r="FX7" s="75">
        <f ca="1">IF(FH7&lt;&gt;"",RANK(FW7,FW4:FW8),"")</f>
        <v>1</v>
      </c>
      <c r="FY7" s="75">
        <f ca="1">SUMPRODUCT((FW4:FW8=FW7)*(FN4:FN8&gt;FN7))</f>
        <v>0</v>
      </c>
      <c r="FZ7" s="75">
        <f ca="1">SUMPRODUCT((FW4:FW8=FW7)*(FN4:FN8=FN7)*(FQ4:FQ8&gt;FQ7))</f>
        <v>0</v>
      </c>
      <c r="GA7" s="75">
        <f ca="1">SUMPRODUCT((FW4:FW8=FW7)*(FN4:FN8=FN7)*(FQ4:FQ8=FQ7)*(FR4:FR8&gt;FR7))</f>
        <v>0</v>
      </c>
      <c r="GB7" s="75">
        <f ca="1">SUMPRODUCT((FW4:FW8=FW7)*(FN4:FN8=FN7)*(FQ4:FQ8=FQ7)*(FR4:FR8=FR7)*(FS4:FS8&gt;FS7))</f>
        <v>0</v>
      </c>
      <c r="GC7" s="75">
        <f ca="1">SUMPRODUCT((FW4:FW8=FW7)*(FN4:FN8=FN7)*(FQ4:FQ8=FQ7)*(FR4:FR8=FR7)*(FS4:FS8=FS7)*(FT4:FT8&gt;FT7))</f>
        <v>1</v>
      </c>
      <c r="GD7" s="75">
        <f t="shared" ca="1" si="37"/>
        <v>2</v>
      </c>
      <c r="GE7" s="75" t="str">
        <f ca="1">IF(FH7&lt;&gt;"",INDEX(FH4:FH8,MATCH(4,GD4:GD8,0),0),"")</f>
        <v>Australia</v>
      </c>
      <c r="GF7" s="75" t="str">
        <f ca="1">IF(FD6&lt;&gt;"",FD6,"")</f>
        <v/>
      </c>
      <c r="GG7" s="75" t="str">
        <f ca="1">IF(GF7&lt;&gt;"",SUMPRODUCT((JC3:JC42=GF7)*(JF3:JF42=GF8)*(JM3:JM42="W"))+SUMPRODUCT((JC3:JC42=GF7)*(JF3:JF42=GF5)*(JM3:JM42="W"))+SUMPRODUCT((JC3:JC42=GF7)*(JF3:JF42=GF6)*(JM3:JM42="W"))+SUMPRODUCT((JC3:JC42=GF8)*(JF3:JF42=GF7)*(JN3:JN42="W"))+SUMPRODUCT((JC3:JC42=GF5)*(JF3:JF42=GF7)*(JN3:JN42="W"))+SUMPRODUCT((JC3:JC42=GF6)*(JF3:JF42=GF7)*(JN3:JN42="W")),"")</f>
        <v/>
      </c>
      <c r="GH7" s="75" t="str">
        <f ca="1">IF(GF7&lt;&gt;"",SUMPRODUCT((JC3:JC42=GF7)*(JF3:JF42=GF8)*(JM3:JM42="D"))+SUMPRODUCT((JC3:JC42=GF7)*(JF3:JF42=GF5)*(JM3:JM42="D"))+SUMPRODUCT((JC3:JC42=GF7)*(JF3:JF42=GF6)*(JM3:JM42="D"))+SUMPRODUCT((JC3:JC42=GF8)*(JF3:JF42=GF7)*(JM3:JM42="D"))+SUMPRODUCT((JC3:JC42=GF5)*(JF3:JF42=GF7)*(JM3:JM42="D"))+SUMPRODUCT((JC3:JC42=GF6)*(JF3:JF42=GF7)*(JM3:JM42="D")),"")</f>
        <v/>
      </c>
      <c r="GI7" s="75" t="str">
        <f ca="1">IF(GF7&lt;&gt;"",SUMPRODUCT((JC3:JC42=GF7)*(JF3:JF42=GF8)*(JM3:JM42="L"))+SUMPRODUCT((JC3:JC42=GF7)*(JF3:JF42=GF5)*(JM3:JM42="L"))+SUMPRODUCT((JC3:JC42=GF7)*(JF3:JF42=GF6)*(JM3:JM42="L"))+SUMPRODUCT((JC3:JC42=GF8)*(JF3:JF42=GF7)*(JN3:JN42="L"))+SUMPRODUCT((JC3:JC42=GF5)*(JF3:JF42=GF7)*(JN3:JN42="L"))+SUMPRODUCT((JC3:JC42=GF6)*(JF3:JF42=GF7)*(JN3:JN42="L")),"")</f>
        <v/>
      </c>
      <c r="GJ7" s="75">
        <f ca="1">IF(GF7&lt;&gt;"",VLOOKUP(GF7,EI4:EM29,5,FALSE),0)</f>
        <v>0</v>
      </c>
      <c r="GK7" s="75">
        <f ca="1">IF(GF7&lt;&gt;"",VLOOKUP(GF7,EI4:EN29,6,FALSE),0)</f>
        <v>0</v>
      </c>
      <c r="GL7" s="75">
        <f ca="1">GJ7-GK7+1000</f>
        <v>1000</v>
      </c>
      <c r="GM7" s="75">
        <f ca="1">IF(GF7&lt;&gt;"",VLOOKUP(GF7,EI4:EP29,8,FALSE),0)</f>
        <v>0</v>
      </c>
      <c r="GN7" s="75">
        <f ca="1">IF(GF7&lt;&gt;"",VLOOKUP(GF7,EI4:EQ29,9,FALSE),0)</f>
        <v>0</v>
      </c>
      <c r="GO7" s="75" t="str">
        <f ca="1">IF(GF7&lt;&gt;"",GM7-GN7+1000,"")</f>
        <v/>
      </c>
      <c r="GP7" s="75" t="str">
        <f ca="1">IF(GF7&lt;&gt;"",VLOOKUP(GF7,EI4:EM8,5,FALSE),"")</f>
        <v/>
      </c>
      <c r="GQ7" s="75" t="str">
        <f ca="1">IF(GF7&lt;&gt;"",VLOOKUP(GF7,EI4:EP8,8,FALSE),"")</f>
        <v/>
      </c>
      <c r="GR7" s="75" t="str">
        <f ca="1">IF(GF7&lt;&gt;"",VLOOKUP(GF7,EI4:EW8,15,FALSE),"")</f>
        <v/>
      </c>
      <c r="GS7" s="75" t="str">
        <f ca="1">IF(GF7&lt;&gt;"",SUMPRODUCT((JC3:JC42=GF7)*(JF3:JF42=GF8)*JI3:JI42)+SUMPRODUCT((JC3:JC42=GF7)*(JF3:JF42=GF5)*JI3:JI42)+SUMPRODUCT((JC3:JC42=GF7)*(JF3:JF42=GF6)*JI3:JI42)+SUMPRODUCT((JC3:JC42=GF8)*(JF3:JF42=GF7)*JJ3:JJ42)+SUMPRODUCT((JC3:JC42=GF5)*(JF3:JF42=GF7)*JJ3:JJ42)+SUMPRODUCT((JC3:JC42=GF6)*(JF3:JF42=GF7)*JJ3:JJ42),"")</f>
        <v/>
      </c>
      <c r="GT7" s="75" t="str">
        <f ca="1">IF(GF7&lt;&gt;"",SUMPRODUCT((JC3:JC42=GF7)*(JF3:JF42=GF8)*JK3:JK42)+SUMPRODUCT((JC3:JC42=GF7)*(JF3:JF42=GF5)*JK3:JK42)+SUMPRODUCT((JC3:JC42=GF7)*(JF3:JF42=GF6)*JK3:JK42)+SUMPRODUCT((JC3:JC42=GF8)*(JF3:JF42=GF7)*JL3:JL42)+SUMPRODUCT((JC3:JC42=GF5)*(JF3:JF42=GF7)*JL3:JL42)+SUMPRODUCT((JC3:JC42=GF6)*(JF3:JF42=GF7)*JL3:JL42),"")</f>
        <v/>
      </c>
      <c r="GU7" s="75" t="str">
        <f ca="1">IF(GF7&lt;&gt;"",GG7*4+GH7*2+GS7+GT7,"")</f>
        <v/>
      </c>
      <c r="GV7" s="75" t="str">
        <f ca="1">IF(GF7&lt;&gt;"",RANK(GU7,GU5:GU8),"")</f>
        <v/>
      </c>
      <c r="GW7" s="75">
        <f ca="1">SUMPRODUCT((GU5:GU8=GU7)*(GL5:GL8&gt;GL7))</f>
        <v>0</v>
      </c>
      <c r="GX7" s="75">
        <f ca="1">SUMPRODUCT((GU5:GU8=GU7)*(GL5:GL8=GL7)*(GO5:GO8&gt;GO7))</f>
        <v>0</v>
      </c>
      <c r="GY7" s="75">
        <f ca="1">SUMPRODUCT((GU4:GU8=GU7)*(GL4:GL8=GL7)*(GO4:GO8=GO7)*(GP4:GP8&gt;GP7))</f>
        <v>0</v>
      </c>
      <c r="GZ7" s="75">
        <f ca="1">SUMPRODUCT((GU4:GU8=GU7)*(GL4:GL8=GL7)*(GO4:GO8=GO7)*(GP4:GP8=GP7)*(GQ4:GQ8&gt;GQ7))</f>
        <v>0</v>
      </c>
      <c r="HA7" s="75">
        <f ca="1">SUMPRODUCT((GU4:GU8=GU7)*(GL4:GL8=GL7)*(GO4:GO8=GO7)*(GP4:GP8=GP7)*(GQ4:GQ8=GQ7)*(GR4:GR8&gt;GR7))</f>
        <v>0</v>
      </c>
      <c r="HB7" s="75" t="str">
        <f t="shared" ca="1" si="41"/>
        <v/>
      </c>
      <c r="HC7" s="75" t="str">
        <f ca="1">IF(GF7&lt;&gt;"",INDEX(GF5:GF8,MATCH(4,HB5:HB8,0),0),"")</f>
        <v/>
      </c>
      <c r="HD7" s="75" t="str">
        <f ca="1">IF(FE5&lt;&gt;"",FE5,"")</f>
        <v/>
      </c>
      <c r="HE7" s="75">
        <f ca="1">SUMPRODUCT((JC3:JC42=HD7)*(JF3:JF42=HD8)*(JM3:JM42="W"))+SUMPRODUCT((JC3:JC42=HD7)*(JF3:JF42=HD9)*(JM3:JM42="W"))+SUMPRODUCT((JC3:JC42=HD7)*(JF3:JF42=HD6)*(JM3:JM42="W"))+SUMPRODUCT((JC3:JC42=HD8)*(JF3:JF42=HD7)*(JN3:JN42="W"))+SUMPRODUCT((JC3:JC42=HD9)*(JF3:JF42=HD7)*(JN3:JN42="W"))+SUMPRODUCT((JC3:JC42=HD6)*(JF3:JF42=HD7)*(JN3:JN42="W"))</f>
        <v>0</v>
      </c>
      <c r="HF7" s="75">
        <f ca="1">SUMPRODUCT((JC3:JC42=HD7)*(JF3:JF42=HD8)*(JM3:JM42="D"))+SUMPRODUCT((JC3:JC42=HD7)*(JF3:JF42=HD9)*(JM3:JM42="D"))+SUMPRODUCT((JC3:JC42=HD7)*(JF3:JF42=HD6)*(JM3:JM42="D"))+SUMPRODUCT((JC3:JC42=HD8)*(JF3:JF42=HD7)*(JM3:JM42="D"))+SUMPRODUCT((JC3:JC42=HD9)*(JF3:JF42=HD7)*(JM3:JM42="D"))+SUMPRODUCT((JC3:JC42=HD6)*(JF3:JF42=HD7)*(JM3:JM42="D"))</f>
        <v>0</v>
      </c>
      <c r="HG7" s="75">
        <f ca="1">SUMPRODUCT((JC3:JC42=HD7)*(JF3:JF42=HD8)*(JM3:JM42="L"))+SUMPRODUCT((JC3:JC42=HD7)*(JF3:JF42=HD9)*(JM3:JM42="L"))+SUMPRODUCT((JC3:JC42=HD7)*(JF3:JF42=HD6)*(JM3:JM42="L"))+SUMPRODUCT((JC3:JC42=HD8)*(JF3:JF42=HD7)*(JN3:JN42="L"))+SUMPRODUCT((JC3:JC42=HD9)*(JF3:JF42=HD7)*(JN3:JN42="L"))+SUMPRODUCT((JC3:JC42=HD6)*(JF3:JF42=HD7)*(JN3:JN42="L"))</f>
        <v>0</v>
      </c>
      <c r="HH7" s="75">
        <f ca="1">IF(HD7&lt;&gt;"",VLOOKUP(HD7,EI4:EM29,5,FALSE),0)</f>
        <v>0</v>
      </c>
      <c r="HI7" s="75">
        <f ca="1">IF(HD7&lt;&gt;"",VLOOKUP(HD7,EI4:EN29,6,FALSE),0)</f>
        <v>0</v>
      </c>
      <c r="HJ7" s="75">
        <f ca="1">HH7-HI7+1000</f>
        <v>1000</v>
      </c>
      <c r="HK7" s="75">
        <f ca="1">IF(HD7&lt;&gt;"",VLOOKUP(HD7,EI4:EP29,8,FALSE),0)</f>
        <v>0</v>
      </c>
      <c r="HL7" s="75">
        <f ca="1">IF(HD7&lt;&gt;"",VLOOKUP(HD7,EI4:EQ29,9,FALSE),0)</f>
        <v>0</v>
      </c>
      <c r="HM7" s="75">
        <f ca="1">HK7-HL7+1000</f>
        <v>1000</v>
      </c>
      <c r="HN7" s="75" t="str">
        <f ca="1">IF(HD7&lt;&gt;"",VLOOKUP(HD7,EI4:EM8,5,FALSE),"")</f>
        <v/>
      </c>
      <c r="HO7" s="75" t="str">
        <f ca="1">IF(HD7&lt;&gt;"",VLOOKUP(HD7,EI4:EP8,8,FALSE),"")</f>
        <v/>
      </c>
      <c r="HP7" s="75" t="str">
        <f ca="1">IF(HD7&lt;&gt;"",VLOOKUP(HD7,EI4:EW8,15,FALSE),"")</f>
        <v/>
      </c>
      <c r="HQ7" s="75">
        <f ca="1">SUMPRODUCT((JC3:JC42=HD7)*(JF3:JF42=HD8)*JI3:JI42)+SUMPRODUCT((JC3:JC42=HD7)*(JF3:JF42=HD9)*JI3:JI42)+SUMPRODUCT((JC3:JC42=HD7)*(JF3:JF42=HD6)*JI3:JI42)+SUMPRODUCT((JC3:JC42=HD8)*(JF3:JF42=HD7)*JJ3:JJ42)+SUMPRODUCT((JC3:JC42=HD9)*(JF3:JF42=HD7)*JJ3:JJ42)+SUMPRODUCT((JC3:JC42=HD6)*(JF3:JF42=HD7)*JJ3:JJ42)</f>
        <v>0</v>
      </c>
      <c r="HR7" s="75">
        <f ca="1">SUMPRODUCT((JC3:JC42=HD7)*(JF3:JF42=HD8)*JK3:JK42)+SUMPRODUCT((JC3:JC42=HD7)*(JF3:JF42=HD9)*JK3:JK42)+SUMPRODUCT((JC3:JC42=HD7)*(JF3:JF42=HD6)*JK3:JK42)+SUMPRODUCT((JC3:JC42=HD8)*(JF3:JF42=HD7)*JL3:JL42)+SUMPRODUCT((JC3:JC42=HD9)*(JF3:JF42=HD7)*JL3:JL42)+SUMPRODUCT((JC3:JC42=HD6)*(JF3:JF42=HD7)*JL3:JL42)</f>
        <v>0</v>
      </c>
      <c r="HS7" s="75">
        <f ca="1">HE7*4+HF7*2+HQ7+HR7</f>
        <v>0</v>
      </c>
      <c r="HT7" s="75" t="str">
        <f ca="1">IF(HD7&lt;&gt;"",RANK(HS7,HS6:HS9),"")</f>
        <v/>
      </c>
      <c r="HU7" s="75">
        <f ca="1">SUMPRODUCT((HS6:HS9=HS7)*(HJ6:HJ9&gt;HJ7))</f>
        <v>0</v>
      </c>
      <c r="HV7" s="75">
        <f ca="1">SUMPRODUCT((HS6:HS9=HS7)*(HJ6:HJ9=HJ7)*(HM6:HM9&gt;HM7))</f>
        <v>0</v>
      </c>
      <c r="HW7" s="75">
        <f ca="1">SUMPRODUCT((HS4:HS8=HS7)*(HJ4:HJ8=HJ7)*(HM4:HM8=HM7)*(HN4:HN8&gt;HN7))</f>
        <v>0</v>
      </c>
      <c r="HX7" s="75">
        <f ca="1">SUMPRODUCT((HS4:HS8=HS7)*(HJ4:HJ8=HJ7)*(HM4:HM8=HM7)*(HN4:HN8=HN7)*(HO4:HO8&gt;HO7))</f>
        <v>0</v>
      </c>
      <c r="HY7" s="75">
        <f ca="1">SUMPRODUCT((HS4:HS8=HS7)*(HJ4:HJ8=HJ7)*(HM4:HM8=HM7)*(HN4:HN8=HN7)*(HO4:HO8=HO7)*(HP4:HP8&gt;HP7))</f>
        <v>0</v>
      </c>
      <c r="HZ7" s="75" t="str">
        <f t="shared" ref="HZ7:HZ8" ca="1" si="43">IF(HD7&lt;&gt;"",SUM(HT7:HY7)+2,"")</f>
        <v/>
      </c>
      <c r="IA7" s="75" t="str">
        <f ca="1">IF(HD7&lt;&gt;"",INDEX(HD6:HD8,MATCH(4,HZ6:HZ8,0),0),"")</f>
        <v/>
      </c>
      <c r="IB7" s="75" t="str">
        <f ca="1">IF(FF4&lt;&gt;"",FF4,"")</f>
        <v/>
      </c>
      <c r="IC7" s="75">
        <f ca="1">SUMPRODUCT((JC3:JC42=IB7)*(JF3:JF42=IB8)*(JM3:JM42="W"))+SUMPRODUCT((JC3:JC42=IB7)*(JF3:JF42=IB9)*(JM3:JM42="W"))+SUMPRODUCT((JC3:JC42=IB7)*(JF3:JF42=IB10)*(JM3:JM42="W"))+SUMPRODUCT((JC3:JC42=IB8)*(JF3:JF42=IB7)*(JN3:JN42="W"))+SUMPRODUCT((JC3:JC42=IB9)*(JF3:JF42=IB7)*(JN3:JN42="W"))+SUMPRODUCT((JC3:JC42=IB10)*(JF3:JF42=IB7)*(JN3:JN42="W"))</f>
        <v>0</v>
      </c>
      <c r="ID7" s="75">
        <f ca="1">SUMPRODUCT((JC3:JC42=IB7)*(JF3:JF42=IB8)*(JM3:JM42="D"))+SUMPRODUCT((JC3:JC42=IB7)*(JF3:JF42=IB9)*(JM3:JM42="D"))+SUMPRODUCT((JC3:JC42=IB7)*(JF3:JF42=IB10)*(JM3:JM42="D"))+SUMPRODUCT((JC3:JC42=IB8)*(JF3:JF42=IB7)*(JM3:JM42="D"))+SUMPRODUCT((JC3:JC42=IB9)*(JF3:JF42=IB7)*(JM3:JM42="D"))+SUMPRODUCT((JC3:JC42=IB10)*(JF3:JF42=IB7)*(JM3:JM42="D"))</f>
        <v>0</v>
      </c>
      <c r="IE7" s="75">
        <f ca="1">SUMPRODUCT((JC3:JC42=IB7)*(JF3:JF42=IB8)*(JM3:JM42="L"))+SUMPRODUCT((JC3:JC42=IB7)*(JF3:JF42=IB9)*(JM3:JM42="L"))+SUMPRODUCT((JC3:JC42=IB7)*(JF3:JF42=IB10)*(JM3:JM42="L"))+SUMPRODUCT((JC3:JC42=IB8)*(JF3:JF42=IB7)*(JN3:JN42="L"))+SUMPRODUCT((JC3:JC42=IB9)*(JF3:JF42=IB7)*(JN3:JN42="L"))+SUMPRODUCT((JC3:JC42=IB10)*(JF3:JF42=IB7)*(JN3:JN42="L"))</f>
        <v>0</v>
      </c>
      <c r="IF7" s="75">
        <f ca="1">IF(IB7&lt;&gt;"",VLOOKUP(IB7,EI4:EM29,5,FALSE),0)</f>
        <v>0</v>
      </c>
      <c r="IG7" s="75">
        <f ca="1">IF(IB7&lt;&gt;"",VLOOKUP(IB7,EI4:EN29,6,FALSE),0)</f>
        <v>0</v>
      </c>
      <c r="IH7" s="75">
        <f ca="1">IF7-IG7+1000</f>
        <v>1000</v>
      </c>
      <c r="II7" s="75">
        <f ca="1">IF(IB7&lt;&gt;"",VLOOKUP(IB7,EI4:EP29,8,FALSE),0)</f>
        <v>0</v>
      </c>
      <c r="IJ7" s="75">
        <f ca="1">IF(IB7&lt;&gt;"",VLOOKUP(IB7,EI4:EQ29,9,FALSE),0)</f>
        <v>0</v>
      </c>
      <c r="IK7" s="75">
        <f ca="1">II7-IJ7+1000</f>
        <v>1000</v>
      </c>
      <c r="IL7" s="75" t="str">
        <f ca="1">IF(IB7&lt;&gt;"",VLOOKUP(IB7,EI4:EM8,5,FALSE),"")</f>
        <v/>
      </c>
      <c r="IM7" s="75" t="str">
        <f ca="1">IF(IB7&lt;&gt;"",VLOOKUP(IB7,EI4:EP8,8,FALSE),"")</f>
        <v/>
      </c>
      <c r="IN7" s="75" t="str">
        <f ca="1">IF(IB7&lt;&gt;"",VLOOKUP(IB7,EI4:EW8,15,FALSE),"")</f>
        <v/>
      </c>
      <c r="IO7" s="75">
        <f ca="1">SUMPRODUCT((JC3:JC42=IB7)*(JF3:JF42=IB8)*JI3:JI42)+SUMPRODUCT((JC3:JC42=IB7)*(JF3:JF42=IB9)*JI3:JI42)+SUMPRODUCT((JC3:JC42=IB7)*(JF3:JF42=IB10)*JI3:JI42)+SUMPRODUCT((JC3:JC42=IB8)*(JF3:JF42=IB7)*JJ3:JJ42)+SUMPRODUCT((JC3:JC42=IB9)*(JF3:JF42=IB7)*JJ3:JJ42)+SUMPRODUCT((JC3:JC42=IB10)*(JF3:JF42=IB7)*JJ3:JJ42)</f>
        <v>0</v>
      </c>
      <c r="IP7" s="75">
        <f ca="1">SUMPRODUCT((JC3:JC42=IB7)*(JF3:JF42=IB8)*JK3:JK42)+SUMPRODUCT((JC3:JC42=IB7)*(JF3:JF42=IB9)*JK3:JK42)+SUMPRODUCT((JC3:JC42=IB7)*(JF3:JF42=IB10)*JK3:JK42)+SUMPRODUCT((JC3:JC42=IB8)*(JF3:JF42=IB7)*JL3:JL42)+SUMPRODUCT((JC3:JC42=IB9)*(JF3:JF42=IB7)*JL3:JL42)+SUMPRODUCT((JC3:JC42=IB10)*(JF3:JF42=IB7)*JL3:JL42)</f>
        <v>0</v>
      </c>
      <c r="IQ7" s="75">
        <f ca="1">IC7*4+ID7*2+IO7+IP7</f>
        <v>0</v>
      </c>
      <c r="IR7" s="75" t="str">
        <f ca="1">IF(IB7&lt;&gt;"",RANK(IQ7,IQ7:IQ10),"")</f>
        <v/>
      </c>
      <c r="IS7" s="75">
        <f ca="1">SUMPRODUCT((IQ7:IQ10=IQ7)*(IH7:IH10&gt;IH7))</f>
        <v>0</v>
      </c>
      <c r="IT7" s="75">
        <f ca="1">SUMPRODUCT((IQ7:IQ10=IQ7)*(IH7:IH10=IH7)*(IK7:IK10&gt;IK7))</f>
        <v>0</v>
      </c>
      <c r="IU7" s="75">
        <f ca="1">SUMPRODUCT((IQ4:IQ8=IQ7)*(IH4:IH8=IH7)*(IK4:IK8=IK7)*(IL4:IL8&gt;IL7))</f>
        <v>0</v>
      </c>
      <c r="IV7" s="75">
        <f ca="1">SUMPRODUCT((IQ4:IQ8=IQ7)*(IH4:IH8=IH7)*(IK4:IK8=IK7)*(IL4:IL8=IL7)*(IM4:IM8&gt;IM7))</f>
        <v>0</v>
      </c>
      <c r="IW7" s="75">
        <f ca="1">SUMPRODUCT((IQ4:IQ8=IQ7)*(IH4:IH8=IH7)*(IK4:IK8=IK7)*(IL4:IL8=IL7)*(IM4:IM8=IM7)*(IN4:IN8&gt;IN7))</f>
        <v>0</v>
      </c>
      <c r="IX7" s="75" t="str">
        <f ca="1">IF(IB7&lt;&gt;"",SUM(IR7:IW7)+3,"")</f>
        <v/>
      </c>
      <c r="IY7" s="75" t="str">
        <f ca="1">IF(IB7&lt;&gt;"",IF(IX7=4,IB7,IB8),"")</f>
        <v/>
      </c>
      <c r="IZ7" s="75" t="str">
        <f ca="1">IF(IY7&lt;&gt;"",IY7,IF(IA7&lt;&gt;"",IA7,IF(HC7&lt;&gt;"",HC7,IF(GE7&lt;&gt;"",GE7,FA7))))</f>
        <v>Australia</v>
      </c>
      <c r="JA7" s="75">
        <v>4</v>
      </c>
      <c r="JB7" s="75">
        <v>5</v>
      </c>
      <c r="JC7" s="75" t="str">
        <f t="shared" si="4"/>
        <v>France</v>
      </c>
      <c r="JD7" s="75" t="str">
        <f ca="1">IF(OFFSET('Prediction Sheet'!$W17,0,JD$1)&lt;&gt;"",OFFSET('Prediction Sheet'!$W17,0,JD$1),"")</f>
        <v/>
      </c>
      <c r="JE7" s="75" t="str">
        <f ca="1">IF(OFFSET('Prediction Sheet'!$Y17,0,JD$1)&lt;&gt;"",OFFSET('Prediction Sheet'!$Y17,0,JD$1),"")</f>
        <v/>
      </c>
      <c r="JF7" s="75" t="str">
        <f t="shared" si="5"/>
        <v>Italy</v>
      </c>
      <c r="JG7" s="75" t="str">
        <f ca="1">IF(OFFSET('Prediction Sheet'!$AA17,0,JF$1)&lt;&gt;"",OFFSET('Prediction Sheet'!$AA17,0,JF$1),"")</f>
        <v/>
      </c>
      <c r="JH7" s="75" t="str">
        <f ca="1">IF(OFFSET('Prediction Sheet'!$AC17,0,JG$1)&lt;&gt;"",OFFSET('Prediction Sheet'!$AC17,0,JG$1),"")</f>
        <v/>
      </c>
      <c r="JI7" s="75">
        <f t="shared" ca="1" si="6"/>
        <v>0</v>
      </c>
      <c r="JJ7" s="75">
        <f t="shared" ca="1" si="7"/>
        <v>0</v>
      </c>
      <c r="JK7" s="75">
        <f t="shared" ca="1" si="8"/>
        <v>0</v>
      </c>
      <c r="JL7" s="75">
        <f t="shared" ca="1" si="9"/>
        <v>0</v>
      </c>
      <c r="JM7" s="75" t="str">
        <f t="shared" ca="1" si="10"/>
        <v/>
      </c>
      <c r="JN7" s="75" t="str">
        <f t="shared" ca="1" si="11"/>
        <v/>
      </c>
    </row>
    <row r="8" spans="1:274" x14ac:dyDescent="0.2">
      <c r="A8" s="75">
        <f>VLOOKUP(B8,DS4:DT8,2,FALSE)</f>
        <v>1</v>
      </c>
      <c r="B8" s="75" t="s">
        <v>2</v>
      </c>
      <c r="C8" s="75">
        <f t="shared" si="12"/>
        <v>0</v>
      </c>
      <c r="D8" s="75">
        <f t="shared" si="13"/>
        <v>0</v>
      </c>
      <c r="E8" s="75">
        <f t="shared" si="14"/>
        <v>0</v>
      </c>
      <c r="F8" s="75">
        <f>SUMIF($DV$3:$DV$60,B8,$DW$3:$DW$60)+SUMIF($DY$3:$DY$60,B8,$DX$3:$DX$60)</f>
        <v>0</v>
      </c>
      <c r="G8" s="75">
        <f>SUMIF($DY$3:$DY$60,B8,$DW$3:$DW$60)+SUMIF($DV$3:$DV$60,B8,$DX$3:$DX$60)</f>
        <v>0</v>
      </c>
      <c r="H8" s="75">
        <f t="shared" si="15"/>
        <v>1000</v>
      </c>
      <c r="I8" s="75">
        <f>SUMIF(Tournament!$H$13:$H$52,B8,Tournament!$O$13:$O$52)+SUMIF(Tournament!$N$13:$N$52,B8,Tournament!$Q$13:$Q$52)</f>
        <v>0</v>
      </c>
      <c r="J8" s="75">
        <f>SUMIF(Tournament!$N$13:$N$52,B8,Tournament!$O$13:$O$52)+SUMIF(Tournament!$H$13:$H$52,B8,Tournament!$Q$13:$Q$52)</f>
        <v>0</v>
      </c>
      <c r="K8" s="75">
        <f t="shared" si="16"/>
        <v>1000</v>
      </c>
      <c r="L8" s="75">
        <f t="shared" si="17"/>
        <v>0</v>
      </c>
      <c r="M8" s="75">
        <f>SUMIF(DV:DV,B8,EB:EB)+SUMIF(DY:DY,B8,EC:EC)</f>
        <v>4</v>
      </c>
      <c r="N8" s="75">
        <f>SUMIF(DV:DV,B8,ED:ED)+SUMIF(DY:DY,B8,EE:EE)</f>
        <v>0</v>
      </c>
      <c r="O8" s="75">
        <f t="shared" si="18"/>
        <v>4</v>
      </c>
      <c r="P8" s="75">
        <v>19</v>
      </c>
      <c r="Q8" s="75">
        <f t="shared" si="19"/>
        <v>1</v>
      </c>
      <c r="S8" s="75">
        <f>RANK(O8,$O$4:$O$8)+COUNTIF($O$4:O8,O8)-1</f>
        <v>5</v>
      </c>
      <c r="T8" s="75" t="str">
        <f>INDEX($B$4:$B$8,MATCH(5,$S$4:$S$8,0),0)</f>
        <v>Uruguay</v>
      </c>
      <c r="U8" s="75">
        <f t="shared" si="20"/>
        <v>1</v>
      </c>
      <c r="V8" s="75" t="str">
        <f>IF(AND(V7&lt;&gt;"",U8=1),T8,"")</f>
        <v>Uruguay</v>
      </c>
      <c r="AA8" s="75" t="str">
        <f t="shared" si="21"/>
        <v>Uruguay</v>
      </c>
      <c r="AB8" s="75">
        <f>SUMPRODUCT((DV3:DV42=AA8)*(DY3:DY42=AA4)*(EF3:EF42="W"))+SUMPRODUCT((DV3:DV42=AA8)*(DY3:DY42=AA5)*(EF3:EF42="W"))+SUMPRODUCT((DV3:DV42=AA8)*(DY3:DY42=AA6)*(EF3:EF42="W"))+SUMPRODUCT((DV3:DV42=AA8)*(DY3:DY42=AA7)*(EF3:EF42="W"))+SUMPRODUCT((DV3:DV42=AA4)*(DY3:DY42=AA8)*(EG3:EG42="W"))+SUMPRODUCT((DV3:DV42=AA5)*(DY3:DY42=AA8)*(EG3:EG42="W"))+SUMPRODUCT((DV3:DV42=AA6)*(DY3:DY42=AA8)*(EG3:EG42="W"))+SUMPRODUCT((DV3:DV42=AA7)*(DY3:DY42=AA8)*(EG3:EG42="W"))</f>
        <v>0</v>
      </c>
      <c r="AC8" s="75">
        <f>SUMPRODUCT((DV3:DV42=AA8)*(DY3:DY42=AA4)*(EF3:EF42="D"))+SUMPRODUCT((DV3:DV42=AA8)*(DY3:DY42=AA5)*(EF3:EF42="D"))+SUMPRODUCT((DV3:DV42=AA8)*(DY3:DY42=AA6)*(EF3:EF42="D"))+SUMPRODUCT((DV3:DV42=AA8)*(DY3:DY42=AA7)*(EF3:EF42="D"))+SUMPRODUCT((DV3:DV42=AA4)*(DY3:DY42=AA8)*(EF3:EF42="D"))+SUMPRODUCT((DV3:DV42=AA5)*(DY3:DY42=AA8)*(EF3:EF42="D"))+SUMPRODUCT((DV3:DV42=AA6)*(DY3:DY42=AA8)*(EF3:EF42="D"))+SUMPRODUCT((DV3:DV42=AA7)*(DY3:DY42=AA8)*(EF3:EF42="D"))</f>
        <v>0</v>
      </c>
      <c r="AD8" s="75">
        <f>SUMPRODUCT((DV3:DV42=AA8)*(DY3:DY42=AA4)*(EF3:EF42="L"))+SUMPRODUCT((DV3:DV42=AA8)*(DY3:DY42=AA5)*(EF3:EF42="L"))+SUMPRODUCT((DV3:DV42=AA8)*(DY3:DY42=AA6)*(EF3:EF42="L"))+SUMPRODUCT((DV3:DV42=AA8)*(DY3:DY42=AA7)*(EF3:EF42="L"))+SUMPRODUCT((DV3:DV42=AA4)*(DY3:DY42=AA8)*(EG3:EG42="L"))+SUMPRODUCT((DV3:DV42=AA5)*(DY3:DY42=AA8)*(EG3:EG42="L"))+SUMPRODUCT((DV3:DV42=AA6)*(DY3:DY42=AA8)*(EG3:EG42="L"))+SUMPRODUCT((DV3:DV42=AA7)*(DY3:DY42=AA8)*(EG3:EG42="L"))</f>
        <v>0</v>
      </c>
      <c r="AE8" s="75">
        <f>IF(AA8&lt;&gt;"",VLOOKUP(AA8,B4:F29,5,FALSE),0)</f>
        <v>0</v>
      </c>
      <c r="AF8" s="75">
        <f>IF(AA8&lt;&gt;"",VLOOKUP(AA8,B4:G29,6,FALSE),0)</f>
        <v>0</v>
      </c>
      <c r="AG8" s="75">
        <f>AE8-AF8+1000</f>
        <v>1000</v>
      </c>
      <c r="AH8" s="75">
        <f>IF(AA8&lt;&gt;"",VLOOKUP(AA8,B4:I29,8,FALSE),0)</f>
        <v>0</v>
      </c>
      <c r="AI8" s="75">
        <f>IF(AA8&lt;&gt;"",VLOOKUP(AA8,B4:J29,9,FALSE),0)</f>
        <v>0</v>
      </c>
      <c r="AJ8" s="75">
        <f>AH8-AI8+1000</f>
        <v>1000</v>
      </c>
      <c r="AK8" s="75">
        <f>IF(AA8&lt;&gt;"",VLOOKUP(AA8,B4:F8,5,FALSE),"")</f>
        <v>0</v>
      </c>
      <c r="AL8" s="75">
        <f>IF(AA8&lt;&gt;"",VLOOKUP(AA8,B4:I8,8,FALSE),"")</f>
        <v>0</v>
      </c>
      <c r="AM8" s="75">
        <f>IF(AA8&lt;&gt;"",VLOOKUP(AA8,B4:P8,15,FALSE),"")</f>
        <v>19</v>
      </c>
      <c r="AN8" s="75">
        <f>SUMPRODUCT((DV3:DV42=AA8)*(DY3:DY42=AA4)*EB3:EB42)+SUMPRODUCT((DV3:DV42=AA8)*(DY3:DY42=AA5)*EB3:EB42)+SUMPRODUCT((DV3:DV42=AA8)*(DY3:DY42=AA6)*EB3:EB42)+SUMPRODUCT((DV3:DV42=AA8)*(DY3:DY42=AA7)*EB3:EB42)+SUMPRODUCT((DV3:DV42=AA4)*(DY3:DY42=AA8)*EC3:EC42)+SUMPRODUCT((DV3:DV42=AA5)*(DY3:DY42=AA8)*EC3:EC42)+SUMPRODUCT((DV3:DV42=AA6)*(DY3:DY42=AA8)*EC3:EC42)+SUMPRODUCT((DV3:DV42=AA7)*(DY3:DY42=AA8)*EC3:EC42)</f>
        <v>4</v>
      </c>
      <c r="AO8" s="75">
        <f>SUMPRODUCT((DV3:DV42=AA8)*(DY3:DY42=AA4)*ED3:ED42)+SUMPRODUCT((DV3:DV42=AA8)*(DY3:DY42=AA5)*ED3:ED42)+SUMPRODUCT((DV3:DV42=AA8)*(DY3:DY42=AA6)*ED3:ED42)+SUMPRODUCT((DV3:DV42=AA8)*(DY3:DY42=AA7)*ED3:ED42)+SUMPRODUCT((DV3:DV42=AA4)*(DY3:DY42=AA8)*EE3:EE42)+SUMPRODUCT((DV3:DV42=AA5)*(DY3:DY42=AA8)*EE3:EE42)+SUMPRODUCT((DV3:DV42=AA6)*(DY3:DY42=AA8)*EE3:EE42)+SUMPRODUCT((DV3:DV42=AA7)*(DY3:DY42=AA8)*EE3:EE42)</f>
        <v>0</v>
      </c>
      <c r="AP8" s="75">
        <f>AB8*4+AC8*2+AN8+AO8</f>
        <v>4</v>
      </c>
      <c r="AQ8" s="75">
        <f>IF(AA8&lt;&gt;"",RANK(AP8,AP4:AP8),"")</f>
        <v>1</v>
      </c>
      <c r="AR8" s="75">
        <f>SUMPRODUCT((AP4:AP8=AP8)*(AG4:AG8&gt;AG8))</f>
        <v>0</v>
      </c>
      <c r="AS8" s="75">
        <f>SUMPRODUCT((AP4:AP8=AP8)*(AG4:AG8=AG8)*(AJ4:AJ8&gt;AJ8))</f>
        <v>0</v>
      </c>
      <c r="AT8" s="75">
        <f>SUMPRODUCT((AP4:AP8=AP8)*(AG4:AG8=AG8)*(AJ4:AJ8=AJ8)*(AK4:AK8&gt;AK8))</f>
        <v>0</v>
      </c>
      <c r="AU8" s="75">
        <f>SUMPRODUCT((AP4:AP8=AP8)*(AG4:AG8=AG8)*(AJ4:AJ8=AJ8)*(AK4:AK8=AK8)*(AL4:AL8&gt;AL8))</f>
        <v>0</v>
      </c>
      <c r="AV8" s="75">
        <f>SUMPRODUCT((AP4:AP8=AP8)*(AG4:AG8=AG8)*(AJ4:AJ8=AJ8)*(AK4:AK8=AK8)*(AL4:AL8=AL8)*(AM4:AM8&gt;AM8))</f>
        <v>0</v>
      </c>
      <c r="AW8" s="75">
        <f t="shared" si="22"/>
        <v>1</v>
      </c>
      <c r="AX8" s="75" t="str">
        <f>IF(AA8&lt;&gt;"",INDEX(AA4:AA8,MATCH(5,AW4:AW8,0),0),"")</f>
        <v>England</v>
      </c>
      <c r="AY8" s="75" t="str">
        <f>IF(W7&lt;&gt;"",W7,"")</f>
        <v/>
      </c>
      <c r="AZ8" s="75" t="str">
        <f>IF(AY8&lt;&gt;"",SUMPRODUCT((DV3:DV42=AY8)*(DY3:DY42=AY5)*(EF3:EF42="W"))+SUMPRODUCT((DV3:DV42=AY8)*(DY3:DY42=AY6)*(EF3:EF42="W"))+SUMPRODUCT((DV3:DV42=AY8)*(DY3:DY42=AY7)*(EF3:EF42="W"))+SUMPRODUCT((DV3:DV42=AY5)*(DY3:DY42=AY8)*(EF3:EF42="W"))+SUMPRODUCT((DV3:DV42=AY6)*(DY3:DY42=AY8)*(EF3:EF42="W"))+SUMPRODUCT((DV3:DV42=AY7)*(DY3:DY42=AY8)*(EF3:EF42="W")),"")</f>
        <v/>
      </c>
      <c r="BA8" s="75" t="str">
        <f>IF(AY8&lt;&gt;"",SUMPRODUCT((DV3:DV42=AY8)*(DY3:DY42=AY5)*(EF3:EF42="D"))+SUMPRODUCT((DV3:DV42=AY8)*(DY3:DY42=AY6)*(EF3:EF42="D"))+SUMPRODUCT((DV3:DV42=AY8)*(DY3:DY42=AY7)*(EF3:EF42="D"))+SUMPRODUCT((DV3:DV42=AY5)*(DY3:DY42=AY8)*(EF3:EF42="D"))+SUMPRODUCT((DV3:DV42=AY6)*(DY3:DY42=AY8)*(EF3:EF42="D"))+SUMPRODUCT((DV3:DV42=AY7)*(DY3:DY42=AY8)*(EF3:EF42="D")),"")</f>
        <v/>
      </c>
      <c r="BB8" s="75" t="str">
        <f>IF(AY8&lt;&gt;"",SUMPRODUCT((DV3:DV42=AY8)*(DY3:DY42=AY5)*(EF3:EF42="L"))+SUMPRODUCT((DV3:DV42=AY8)*(DY3:DY42=AY6)*(EF3:EF42="L"))+SUMPRODUCT((DV3:DV42=AY8)*(DY3:DY42=AY7)*(EF3:EF42="L"))+SUMPRODUCT((DV3:DV42=AY5)*(DY3:DY42=AY8)*(EF3:EF42="L"))+SUMPRODUCT((DV3:DV42=AY6)*(DY3:DY42=AY8)*(EF3:EF42="L"))+SUMPRODUCT((DV3:DV42=AY7)*(DY3:DY42=AY8)*(EF3:EF42="L")),"")</f>
        <v/>
      </c>
      <c r="BC8" s="75">
        <f>IF(AY8&lt;&gt;"",VLOOKUP(AY8,B4:F29,5,FALSE),0)</f>
        <v>0</v>
      </c>
      <c r="BD8" s="75">
        <f>IF(AY8&lt;&gt;"",VLOOKUP(AY8,B4:G29,6,FALSE),0)</f>
        <v>0</v>
      </c>
      <c r="BE8" s="75">
        <f>BC8-BD8+1000</f>
        <v>1000</v>
      </c>
      <c r="BF8" s="75">
        <f>IF(AY8&lt;&gt;"",VLOOKUP(AY8,B4:I29,8,FALSE),0)</f>
        <v>0</v>
      </c>
      <c r="BG8" s="75">
        <f>IF(AY8&lt;&gt;"",VLOOKUP(AY8,B4:J29,9,FALSE),0)</f>
        <v>0</v>
      </c>
      <c r="BH8" s="75" t="str">
        <f>IF(AY8&lt;&gt;"",BF8-BG8+1000,"")</f>
        <v/>
      </c>
      <c r="BI8" s="75" t="str">
        <f>IF(AY8&lt;&gt;"",VLOOKUP(AY8,B4:F8,5,FALSE),"")</f>
        <v/>
      </c>
      <c r="BJ8" s="75" t="str">
        <f>IF(AY8&lt;&gt;"",VLOOKUP(AY8,B4:I8,8,FALSE),"")</f>
        <v/>
      </c>
      <c r="BK8" s="75" t="str">
        <f>IF(AY8&lt;&gt;"",VLOOKUP(AY8,B4:P8,15,FALSE),"")</f>
        <v/>
      </c>
      <c r="BL8" s="75" t="str">
        <f>IF(AY8&lt;&gt;"",SUMPRODUCT((DV3:DV42=AY8)*(DY3:DY42=AY5)*EB3:EB42)+SUMPRODUCT((DV3:DV42=AY8)*(DY3:DY42=AY6)*EB3:EB42)+SUMPRODUCT((DV3:DV42=AY8)*(DY3:DY42=AY7)*EB3:EB42)+SUMPRODUCT((DV3:DV42=AY5)*(DY3:DY42=AY8)*EC3:EC42)+SUMPRODUCT((DV3:DV42=AY6)*(DY3:DY42=AY8)*EC3:EC42)+SUMPRODUCT((DV3:DV42=AY7)*(DY3:DY42=AY8)*EC3:EC42),"")</f>
        <v/>
      </c>
      <c r="BM8" s="75" t="str">
        <f>IF(AY8&lt;&gt;"",SUMPRODUCT((DV3:DV42=AY8)*(DY3:DY42=AY5)*ED3:ED42)+SUMPRODUCT((DV3:DV42=AY8)*(DY3:DY42=AY6)*ED3:ED42)+SUMPRODUCT((DV3:DV42=AY8)*(DY3:DY42=AY7)*ED3:ED42)+SUMPRODUCT((DV3:DV42=AY5)*(DY3:DY42=AY8)*EE3:EE42)+SUMPRODUCT((DV3:DV42=AY6)*(DY3:DY42=AY8)*EE3:EE42)+SUMPRODUCT((DV3:DV42=AY7)*(DY3:DY42=AY8)*EE3:EE42),"")</f>
        <v/>
      </c>
      <c r="BN8" s="75" t="str">
        <f>IF(AY8&lt;&gt;"",AZ8*4+BA8*2+BL8+BM8,"")</f>
        <v/>
      </c>
      <c r="BO8" s="75" t="str">
        <f>IF(AY8&lt;&gt;"",RANK(BN8,BN5:BN8),"")</f>
        <v/>
      </c>
      <c r="BP8" s="75">
        <f>SUMPRODUCT((BN5:BN8=BN8)*(BE5:BE8&gt;BE8))</f>
        <v>0</v>
      </c>
      <c r="BQ8" s="75">
        <f>SUMPRODUCT((BN5:BN8=BN8)*(BE5:BE8=BE8)*(BH5:BH8&gt;BH8))</f>
        <v>0</v>
      </c>
      <c r="BR8" s="75">
        <f>SUMPRODUCT((BN4:BN8=BN8)*(BE4:BE8=BE8)*(BH4:BH8=BH8)*(BI4:BI8&gt;BI8))</f>
        <v>0</v>
      </c>
      <c r="BS8" s="75">
        <f>SUMPRODUCT((BN4:BN8=BN8)*(BE4:BE8=BE8)*(BH4:BH8=BH8)*(BI4:BI8=BI8)*(BJ4:BJ8&gt;BJ8))</f>
        <v>0</v>
      </c>
      <c r="BT8" s="75">
        <f>SUMPRODUCT((BN4:BN8=BN8)*(BE4:BE8=BE8)*(BH4:BH8=BH8)*(BI4:BI8=BI8)*(BJ4:BJ8=BJ8)*(BK4:BK8&gt;BK8))</f>
        <v>0</v>
      </c>
      <c r="BU8" s="75" t="str">
        <f t="shared" si="39"/>
        <v/>
      </c>
      <c r="BV8" s="75" t="str">
        <f>IF(AY8&lt;&gt;"",INDEX(AY5:AY8,MATCH(5,BU5:BU8,0),0),"")</f>
        <v/>
      </c>
      <c r="BW8" s="75" t="str">
        <f>IF(X6&lt;&gt;"",X6,"")</f>
        <v/>
      </c>
      <c r="BX8" s="75" t="str">
        <f>IF(BW8&lt;&gt;"",SUMPRODUCT((DV3:DV42=BW8)*(DY3:DY42=BW9)*(EF3:EF42="W"))+SUMPRODUCT((DV3:DV42=BW8)*(DY3:DY42=BW6)*(EF3:EF42="W"))+SUMPRODUCT((DV3:DV42=BW8)*(DY3:DY42=BW7)*(EF3:EF42="W"))+SUMPRODUCT((DV3:DV42=BW9)*(DY3:DY42=BW8)*(EG3:EG42="W"))+SUMPRODUCT((DV3:DV42=BW6)*(DY3:DY42=BW8)*(EG3:EG42="W"))+SUMPRODUCT((DV3:DV42=BW7)*(DY3:DY42=BW8)*(EG3:EG42="W")),"")</f>
        <v/>
      </c>
      <c r="BY8" s="75" t="str">
        <f>IF(BW8&lt;&gt;"",SUMPRODUCT((DV3:DV42=BW8)*(DY3:DY42=BW9)*(EF3:EF42="D"))+SUMPRODUCT((DV3:DV42=BW8)*(DY3:DY42=BW6)*(EF3:EF42="D"))+SUMPRODUCT((DV3:DV42=BW8)*(DY3:DY42=BW7)*(EF3:EF42="D"))+SUMPRODUCT((DV3:DV42=BW9)*(DY3:DY42=BW8)*(EF3:EF42="D"))+SUMPRODUCT((DV3:DV42=BW6)*(DY3:DY42=BW8)*(EF3:EF42="D"))+SUMPRODUCT((DV3:DV42=BW7)*(DY3:DY42=BW8)*(EF3:EF42="D")),"")</f>
        <v/>
      </c>
      <c r="BZ8" s="75" t="str">
        <f>IF(BW8&lt;&gt;"",SUMPRODUCT((DV3:DV42=BW8)*(DY3:DY42=BW9)*(EF3:EF42="L"))+SUMPRODUCT((DV3:DV42=BW8)*(DY3:DY42=BW6)*(EF3:EF42="L"))+SUMPRODUCT((DV3:DV42=BW8)*(DY3:DY42=BW7)*(EF3:EF42="L"))+SUMPRODUCT((DV3:DV42=BW9)*(DY3:DY42=BW8)*(EG3:EG42="L"))+SUMPRODUCT((DV3:DV42=BW6)*(DY3:DY42=BW8)*(EG3:EG42="L"))+SUMPRODUCT((DV3:DV42=BW7)*(DY3:DY42=BW8)*(EG3:EG42="L")),"")</f>
        <v/>
      </c>
      <c r="CA8" s="75">
        <f>IF(BW8&lt;&gt;"",VLOOKUP(BW8,B4:F29,5,FALSE),0)</f>
        <v>0</v>
      </c>
      <c r="CB8" s="75">
        <f>IF(BW8&lt;&gt;"",VLOOKUP(BW8,B4:G29,6,FALSE),0)</f>
        <v>0</v>
      </c>
      <c r="CC8" s="75">
        <f>CA8-CB8+1000</f>
        <v>1000</v>
      </c>
      <c r="CD8" s="75">
        <f>IF(BW8&lt;&gt;"",VLOOKUP(BW8,B4:I29,8,FALSE),0)</f>
        <v>0</v>
      </c>
      <c r="CE8" s="75">
        <f>IF(BW8&lt;&gt;"",VLOOKUP(BW8,B4:J29,9,FALSE),0)</f>
        <v>0</v>
      </c>
      <c r="CF8" s="75" t="str">
        <f>IF(BW8&lt;&gt;"",CD8-CE8+1000,"")</f>
        <v/>
      </c>
      <c r="CG8" s="75" t="str">
        <f>IF(BW8&lt;&gt;"",VLOOKUP(BW8,B4:F8,5,FALSE),"")</f>
        <v/>
      </c>
      <c r="CH8" s="75" t="str">
        <f>IF(BW8&lt;&gt;"",VLOOKUP(BW8,B4:I8,8,FALSE),"")</f>
        <v/>
      </c>
      <c r="CI8" s="75" t="str">
        <f>IF(BW8&lt;&gt;"",VLOOKUP(BW8,B4:P8,15,FALSE),"")</f>
        <v/>
      </c>
      <c r="CJ8" s="75" t="str">
        <f>IF(BW8&lt;&gt;"",SUMPRODUCT((DV3:DV42=BW8)*(DY3:DY42=BW9)*EB3:EB42)+SUMPRODUCT((DV3:DV42=BW8)*(DY3:DY42=BW6)*EB3:EB42)+SUMPRODUCT((DV3:DV42=BW8)*(DY3:DY42=BW7)*EB3:EB42)+SUMPRODUCT((DV3:DV42=BW9)*(DY3:DY42=BW8)*EC3:EC42)+SUMPRODUCT((DV3:DV42=BW6)*(DY3:DY42=BW8)*EC3:EC42)+SUMPRODUCT((DV3:DV42=BW7)*(DY3:DY42=BW8)*EC3:EC42),"")</f>
        <v/>
      </c>
      <c r="CK8" s="75" t="str">
        <f>IF(BW8&lt;&gt;"",SUMPRODUCT((DV3:DV42=BW8)*(DY3:DY42=BW9)*ED3:ED42)+SUMPRODUCT((DV3:DV42=BW8)*(DY3:DY42=BW6)*ED3:ED42)+SUMPRODUCT((DV3:DV42=BW8)*(DY3:DY42=BW7)*ED3:ED42)+SUMPRODUCT((DV3:DV42=BW9)*(DY3:DY42=BW8)*EE3:EE42)+SUMPRODUCT((DV3:DV42=BW6)*(DY3:DY42=BW8)*EE3:EE42)+SUMPRODUCT((DV3:DV42=BW7)*(DY3:DY42=BW8)*EE3:EE42),"")</f>
        <v/>
      </c>
      <c r="CL8" s="75" t="str">
        <f>IF(BW8&lt;&gt;"",BX8*4+BY8*2+CJ8+CK8,"")</f>
        <v/>
      </c>
      <c r="CM8" s="75" t="str">
        <f>IF(BW8&lt;&gt;"",RANK(CL8,CL6:CL9),"")</f>
        <v/>
      </c>
      <c r="CN8" s="75">
        <f>SUMPRODUCT((CL6:CL9=CL8)*(CC6:CC9&gt;CC8))</f>
        <v>0</v>
      </c>
      <c r="CO8" s="75">
        <f>SUMPRODUCT((CL6:CL9=CL8)*(CC6:CC9=CC8)*(CF6:CF9&gt;CF8))</f>
        <v>0</v>
      </c>
      <c r="CP8" s="75">
        <f>SUMPRODUCT((CL4:CL8=CL8)*(CC4:CC8=CC8)*(CF4:CF8=CF8)*(CG4:CG8&gt;CG8))</f>
        <v>0</v>
      </c>
      <c r="CQ8" s="75">
        <f>SUMPRODUCT((CL4:CL8=CL8)*(CC4:CC8=CC8)*(CF4:CF8=CF8)*(CG4:CG8=CG8)*(CH4:CH8&gt;CH8))</f>
        <v>0</v>
      </c>
      <c r="CR8" s="75">
        <f>SUMPRODUCT((CL4:CL8=CL8)*(CC4:CC8=CC8)*(CF4:CF8=CF8)*(CG4:CG8=CG8)*(CH4:CH8=CH8)*(CI4:CI8&gt;CI8))</f>
        <v>0</v>
      </c>
      <c r="CS8" s="75" t="str">
        <f t="shared" si="42"/>
        <v/>
      </c>
      <c r="CT8" s="75" t="str">
        <f>IF(BW8&lt;&gt;"",INDEX(BW6:BW8,MATCH(5,CS6:CS8,0),0),"")</f>
        <v/>
      </c>
      <c r="CU8" s="75" t="str">
        <f>IF(Y5&lt;&gt;"",Y5,"")</f>
        <v/>
      </c>
      <c r="CV8" s="75">
        <f>SUMPRODUCT((DV3:DV42=CU8)*(DY3:DY42=CU9)*(EF3:EF42="W"))+SUMPRODUCT((DV3:DV42=CU8)*(DY3:DY42=CU10)*(EF3:EF42="W"))+SUMPRODUCT((DV3:DV42=CU8)*(DY3:DY42=CU7)*(EF3:EF42="W"))+SUMPRODUCT((DV3:DV42=CU9)*(DY3:DY42=CU8)*(EG3:EG42="W"))+SUMPRODUCT((DV3:DV42=CU10)*(DY3:DY42=CU8)*(EG3:EG42="W"))+SUMPRODUCT((DV3:DV42=CU7)*(DY3:DY42=CU8)*(EG3:EG42="W"))</f>
        <v>0</v>
      </c>
      <c r="CW8" s="75">
        <f>SUMPRODUCT((DV3:DV42=CU8)*(DY3:DY42=CU9)*(EF3:EF42="D"))+SUMPRODUCT((DV3:DV42=CU8)*(DY3:DY42=CU10)*(EF3:EF42="D"))+SUMPRODUCT((DV3:DV42=CU8)*(DY3:DY42=CU7)*(EF3:EF42="D"))+SUMPRODUCT((DV3:DV42=CU9)*(DY3:DY42=CU8)*(EF3:EF42="D"))+SUMPRODUCT((DV3:DV42=CU10)*(DY3:DY42=CU8)*(EF3:EF42="D"))+SUMPRODUCT((DV3:DV42=CU7)*(DY3:DY42=CU8)*(EF3:EF42="D"))</f>
        <v>0</v>
      </c>
      <c r="CX8" s="75">
        <f>SUMPRODUCT((DV3:DV42=CU8)*(DY3:DY42=CU9)*(EF3:EF42="L"))+SUMPRODUCT((DV3:DV42=CU8)*(DY3:DY42=CU10)*(EF3:EF42="L"))+SUMPRODUCT((DV3:DV42=CU8)*(DY3:DY42=CU7)*(EF3:EF42="L"))+SUMPRODUCT((DV3:DV42=CU9)*(DY3:DY42=CU8)*(EG3:EG42="L"))+SUMPRODUCT((DV3:DV42=CU10)*(DY3:DY42=CU8)*(EG3:EG42="L"))+SUMPRODUCT((DV3:DV42=CU7)*(DY3:DY42=CU8)*(EG3:EG42="L"))</f>
        <v>0</v>
      </c>
      <c r="CY8" s="75">
        <f>IF(CU8&lt;&gt;"",VLOOKUP(CU8,B4:F29,5,FALSE),0)</f>
        <v>0</v>
      </c>
      <c r="CZ8" s="75">
        <f>IF(CU8&lt;&gt;"",VLOOKUP(CU8,B4:G29,6,FALSE),0)</f>
        <v>0</v>
      </c>
      <c r="DA8" s="75">
        <f>CY8-CZ8+1000</f>
        <v>1000</v>
      </c>
      <c r="DB8" s="75">
        <f>IF(CU8&lt;&gt;"",VLOOKUP(CU8,B4:I29,8,FALSE),0)</f>
        <v>0</v>
      </c>
      <c r="DC8" s="75">
        <f>IF(CU8&lt;&gt;"",VLOOKUP(CU8,B4:J29,9,FALSE),0)</f>
        <v>0</v>
      </c>
      <c r="DD8" s="75">
        <f t="shared" ref="DD8" si="44">DB8-DC8+1000</f>
        <v>1000</v>
      </c>
      <c r="DE8" s="75" t="str">
        <f>IF(CU8&lt;&gt;"",VLOOKUP(CU8,B4:F8,5,FALSE),"")</f>
        <v/>
      </c>
      <c r="DF8" s="75" t="str">
        <f>IF(CU8&lt;&gt;"",VLOOKUP(CU8,B4:I8,8,FALSE),"")</f>
        <v/>
      </c>
      <c r="DG8" s="75" t="str">
        <f>IF(CU8&lt;&gt;"",VLOOKUP(CU8,B4:P8,15,FALSE),"")</f>
        <v/>
      </c>
      <c r="DH8" s="75">
        <f>SUMPRODUCT((DV3:DV42=CU8)*(DY3:DY42=CU9)*EB3:EB42)+SUMPRODUCT((DV3:DV42=CU8)*(DY3:DY42=CU10)*EB3:EB42)+SUMPRODUCT((DV3:DV42=CU8)*(DY3:DY42=CU7)*EB3:EB42)+SUMPRODUCT((DV3:DV42=CU9)*(DY3:DY42=CU8)*EC3:EC42)+SUMPRODUCT((DV3:DV42=CU10)*(DY3:DY42=CU8)*EC3:EC42)+SUMPRODUCT((DV3:DV42=CU7)*(DY3:DY42=CU8)*EC3:EC42)</f>
        <v>0</v>
      </c>
      <c r="DI8" s="75">
        <f>SUMPRODUCT((DV3:DV42=CU8)*(DY3:DY42=CU9)*ED3:ED42)+SUMPRODUCT((DV3:DV42=CU8)*(DY3:DY42=CU10)*ED3:ED42)+SUMPRODUCT((DV3:DV42=CU8)*(DY3:DY42=CU7)*ED3:ED42)+SUMPRODUCT((DV3:DV42=CU9)*(DY3:DY42=CU8)*EE3:EE42)+SUMPRODUCT((DV3:DV42=CU10)*(DY3:DY42=CU8)*EE3:EE42)+SUMPRODUCT((DV3:DV42=CU7)*(DY3:DY42=CU8)*EE3:EE42)</f>
        <v>0</v>
      </c>
      <c r="DJ8" s="75">
        <f t="shared" ref="DJ8" si="45">CV8*4+CW8*2+DH8+DI8</f>
        <v>0</v>
      </c>
      <c r="DK8" s="75" t="str">
        <f>IF(CU8&lt;&gt;"",RANK(DJ8,DJ7:DJ10),"")</f>
        <v/>
      </c>
      <c r="DL8" s="75">
        <f>SUMPRODUCT((DJ7:DJ10=DJ8)*(DA7:DA10&gt;DA8))</f>
        <v>0</v>
      </c>
      <c r="DM8" s="75">
        <f>SUMPRODUCT((DJ7:DJ10=DJ8)*(DA7:DA10=DA8)*(DD7:DD10&gt;DD8))</f>
        <v>0</v>
      </c>
      <c r="DN8" s="75">
        <f>SUMPRODUCT((DJ4:DJ8=DJ8)*(DA4:DA8=DA8)*(DD4:DD8=DD8)*(DE4:DE8&gt;DE8))</f>
        <v>0</v>
      </c>
      <c r="DO8" s="75">
        <f>SUMPRODUCT((DJ4:DJ8=DJ8)*(DA4:DA8=DA8)*(DD4:DD8=DD8)*(DE4:DE8=DE8)*(DF4:DF8&gt;DF8))</f>
        <v>0</v>
      </c>
      <c r="DP8" s="75">
        <f>SUMPRODUCT((DJ4:DJ8=DJ8)*(DA4:DA8=DA8)*(DD4:DD8=DD8)*(DE4:DE8=DE8)*(DF4:DF8=DF8)*(DG4:DG8&gt;DG8))</f>
        <v>0</v>
      </c>
      <c r="DQ8" s="75" t="str">
        <f>IF(CU8&lt;&gt;"",SUM(DK8:DP8)+3,"")</f>
        <v/>
      </c>
      <c r="DR8" s="75" t="str">
        <f>IF(CU7&lt;&gt;"",IF(CU7=DR7,CU8,CU7),"")</f>
        <v/>
      </c>
      <c r="DS8" s="75" t="str">
        <f>IF(DR8&lt;&gt;"",DR8,IF(CT8&lt;&gt;"",CT8,IF(BV8&lt;&gt;"",BV8,IF(AX8&lt;&gt;"",AX8,T8))))</f>
        <v>England</v>
      </c>
      <c r="DT8" s="75">
        <v>5</v>
      </c>
      <c r="DU8" s="75">
        <v>6</v>
      </c>
      <c r="DV8" s="75" t="str">
        <f>Tournament!H18</f>
        <v>Samoa</v>
      </c>
      <c r="DW8" s="75">
        <f>IF(AND(Tournament!J18&lt;&gt;"",Tournament!L18&lt;&gt;""),Tournament!J18,0)</f>
        <v>0</v>
      </c>
      <c r="DX8" s="75">
        <f>IF(AND(Tournament!L18&lt;&gt;"",Tournament!J18&lt;&gt;""),Tournament!L18,0)</f>
        <v>0</v>
      </c>
      <c r="DY8" s="75" t="str">
        <f>Tournament!N18</f>
        <v>USA</v>
      </c>
      <c r="DZ8" s="75">
        <f>IF(Tournament!O18&lt;&gt;"",Tournament!O18,0)</f>
        <v>0</v>
      </c>
      <c r="EA8" s="75">
        <f>IF(Tournament!Q18&lt;&gt;"",Tournament!Q18,0)</f>
        <v>0</v>
      </c>
      <c r="EB8" s="75">
        <f>IF(DW8&lt;&gt;"",IF(Tournament!O18&gt;3,1,0),0)</f>
        <v>1</v>
      </c>
      <c r="EC8" s="75">
        <f>IF(DX8&lt;&gt;"",IF(Tournament!Q18&gt;3,1,0),0)</f>
        <v>1</v>
      </c>
      <c r="ED8" s="75">
        <f t="shared" si="1"/>
        <v>0</v>
      </c>
      <c r="EE8" s="75">
        <f t="shared" si="2"/>
        <v>0</v>
      </c>
      <c r="EF8" s="75" t="str">
        <f>IF(AND(Tournament!J18&lt;&gt;"",Tournament!L18&lt;&gt;""),IF(DW8&gt;DX8,"W",IF(DW8=DX8,"D","L")),"")</f>
        <v/>
      </c>
      <c r="EG8" s="75" t="str">
        <f t="shared" si="3"/>
        <v/>
      </c>
      <c r="EH8" s="75">
        <f ca="1">VLOOKUP(EI8,IZ4:JA8,2,FALSE)</f>
        <v>1</v>
      </c>
      <c r="EI8" s="75" t="s">
        <v>2</v>
      </c>
      <c r="EJ8" s="75">
        <f t="shared" ca="1" si="23"/>
        <v>0</v>
      </c>
      <c r="EK8" s="75">
        <f t="shared" ca="1" si="24"/>
        <v>0</v>
      </c>
      <c r="EL8" s="75">
        <f t="shared" ca="1" si="25"/>
        <v>0</v>
      </c>
      <c r="EM8" s="75">
        <f t="shared" ca="1" si="26"/>
        <v>0</v>
      </c>
      <c r="EN8" s="75">
        <f t="shared" ca="1" si="27"/>
        <v>0</v>
      </c>
      <c r="EO8" s="75">
        <f t="shared" ca="1" si="28"/>
        <v>1000</v>
      </c>
      <c r="EP8" s="75">
        <f t="shared" ca="1" si="29"/>
        <v>0</v>
      </c>
      <c r="EQ8" s="75">
        <f t="shared" ca="1" si="30"/>
        <v>0</v>
      </c>
      <c r="ER8" s="75">
        <f t="shared" ca="1" si="31"/>
        <v>1000</v>
      </c>
      <c r="ES8" s="75">
        <f t="shared" ca="1" si="32"/>
        <v>0</v>
      </c>
      <c r="ET8" s="75">
        <f ca="1">SUMIF(JC:JC,EI8,JI:JI)+SUMIF(JF:JF,EI8,JJ:JJ)</f>
        <v>0</v>
      </c>
      <c r="EU8" s="75">
        <f ca="1">SUMIF(JC:JC,EI8,JK:JK)+SUMIF(JF:JF,EI8,JL:JL)</f>
        <v>0</v>
      </c>
      <c r="EV8" s="75">
        <f t="shared" ca="1" si="33"/>
        <v>0</v>
      </c>
      <c r="EW8" s="75">
        <v>19</v>
      </c>
      <c r="EX8" s="75">
        <f t="shared" ca="1" si="34"/>
        <v>1</v>
      </c>
      <c r="EZ8" s="75">
        <f ca="1">RANK(EV8,EV$4:EV$8)+COUNTIF(EV$4:EV8,EV8)-1</f>
        <v>5</v>
      </c>
      <c r="FA8" s="75" t="str">
        <f ca="1">INDEX(EI$4:EI$8,MATCH(5,EZ$4:EZ$8,0),0)</f>
        <v>Uruguay</v>
      </c>
      <c r="FB8" s="75">
        <f t="shared" ca="1" si="35"/>
        <v>1</v>
      </c>
      <c r="FC8" s="75" t="str">
        <f ca="1">IF(AND(FC7&lt;&gt;"",FB8=1),FA8,"")</f>
        <v>Uruguay</v>
      </c>
      <c r="FH8" s="75" t="str">
        <f t="shared" ca="1" si="36"/>
        <v>Uruguay</v>
      </c>
      <c r="FI8" s="75">
        <f ca="1">SUMPRODUCT((JC3:JC42=FH8)*(JF3:JF42=FH4)*(JM3:JM42="W"))+SUMPRODUCT((JC3:JC42=FH8)*(JF3:JF42=FH5)*(JM3:JM42="W"))+SUMPRODUCT((JC3:JC42=FH8)*(JF3:JF42=FH6)*(JM3:JM42="W"))+SUMPRODUCT((JC3:JC42=FH8)*(JF3:JF42=FH7)*(JM3:JM42="W"))+SUMPRODUCT((JC3:JC42=FH4)*(JF3:JF42=FH8)*(JN3:JN42="W"))+SUMPRODUCT((JC3:JC42=FH5)*(JF3:JF42=FH8)*(JN3:JN42="W"))+SUMPRODUCT((JC3:JC42=FH6)*(JF3:JF42=FH8)*(JN3:JN42="W"))+SUMPRODUCT((JC3:JC42=FH7)*(JF3:JF42=FH8)*(JN3:JN42="W"))</f>
        <v>0</v>
      </c>
      <c r="FJ8" s="75">
        <f ca="1">SUMPRODUCT((JC3:JC42=FH8)*(JF3:JF42=FH4)*(JM3:JM42="D"))+SUMPRODUCT((JC3:JC42=FH8)*(JF3:JF42=FH5)*(JM3:JM42="D"))+SUMPRODUCT((JC3:JC42=FH8)*(JF3:JF42=FH6)*(JM3:JM42="D"))+SUMPRODUCT((JC3:JC42=FH8)*(JF3:JF42=FH7)*(JM3:JM42="D"))+SUMPRODUCT((JC3:JC42=FH4)*(JF3:JF42=FH8)*(JM3:JM42="D"))+SUMPRODUCT((JC3:JC42=FH5)*(JF3:JF42=FH8)*(JM3:JM42="D"))+SUMPRODUCT((JC3:JC42=FH6)*(JF3:JF42=FH8)*(JM3:JM42="D"))+SUMPRODUCT((JC3:JC42=FH7)*(JF3:JF42=FH8)*(JM3:JM42="D"))</f>
        <v>0</v>
      </c>
      <c r="FK8" s="75">
        <f ca="1">SUMPRODUCT((JC3:JC42=FH8)*(JF3:JF42=FH4)*(JM3:JM42="L"))+SUMPRODUCT((JC3:JC42=FH8)*(JF3:JF42=FH5)*(JM3:JM42="L"))+SUMPRODUCT((JC3:JC42=FH8)*(JF3:JF42=FH6)*(JM3:JM42="L"))+SUMPRODUCT((JC3:JC42=FH8)*(JF3:JF42=FH7)*(JM3:JM42="L"))+SUMPRODUCT((JC3:JC42=FH4)*(JF3:JF42=FH8)*(JN3:JN42="L"))+SUMPRODUCT((JC3:JC42=FH5)*(JF3:JF42=FH8)*(JN3:JN42="L"))+SUMPRODUCT((JC3:JC42=FH6)*(JF3:JF42=FH8)*(JN3:JN42="L"))+SUMPRODUCT((JC3:JC42=FH7)*(JF3:JF42=FH8)*(JN3:JN42="L"))</f>
        <v>0</v>
      </c>
      <c r="FL8" s="75">
        <f ca="1">IF(FH8&lt;&gt;"",VLOOKUP(FH8,EI4:EM29,5,FALSE),0)</f>
        <v>0</v>
      </c>
      <c r="FM8" s="75">
        <f ca="1">IF(FH8&lt;&gt;"",VLOOKUP(FH8,EI4:EN29,6,FALSE),0)</f>
        <v>0</v>
      </c>
      <c r="FN8" s="75">
        <f ca="1">FL8-FM8+1000</f>
        <v>1000</v>
      </c>
      <c r="FO8" s="75">
        <f ca="1">IF(FH8&lt;&gt;"",VLOOKUP(FH8,EI4:EP29,8,FALSE),0)</f>
        <v>0</v>
      </c>
      <c r="FP8" s="75">
        <f ca="1">IF(FH8&lt;&gt;"",VLOOKUP(FH8,EI4:EQ29,9,FALSE),0)</f>
        <v>0</v>
      </c>
      <c r="FQ8" s="75">
        <f ca="1">FO8-FP8+1000</f>
        <v>1000</v>
      </c>
      <c r="FR8" s="75">
        <f ca="1">IF(FH8&lt;&gt;"",VLOOKUP(FH8,EI4:EM8,5,FALSE),"")</f>
        <v>0</v>
      </c>
      <c r="FS8" s="75">
        <f ca="1">IF(FH8&lt;&gt;"",VLOOKUP(FH8,EI4:EP8,8,FALSE),"")</f>
        <v>0</v>
      </c>
      <c r="FT8" s="75">
        <f ca="1">IF(FH8&lt;&gt;"",VLOOKUP(FH8,EI4:EW8,15,FALSE),"")</f>
        <v>19</v>
      </c>
      <c r="FU8" s="75">
        <f ca="1">SUMPRODUCT((JC3:JC42=FH8)*(JF3:JF42=FH4)*JI3:JI42)+SUMPRODUCT((JC3:JC42=FH8)*(JF3:JF42=FH5)*JI3:JI42)+SUMPRODUCT((JC3:JC42=FH8)*(JF3:JF42=FH6)*JI3:JI42)+SUMPRODUCT((JC3:JC42=FH8)*(JF3:JF42=FH7)*JI3:JI42)+SUMPRODUCT((JC3:JC42=FH4)*(JF3:JF42=FH8)*JJ3:JJ42)+SUMPRODUCT((JC3:JC42=FH5)*(JF3:JF42=FH8)*JJ3:JJ42)+SUMPRODUCT((JC3:JC42=FH6)*(JF3:JF42=FH8)*JJ3:JJ42)+SUMPRODUCT((JC3:JC42=FH7)*(JF3:JF42=FH8)*JJ3:JJ42)</f>
        <v>0</v>
      </c>
      <c r="FV8" s="75">
        <f ca="1">SUMPRODUCT((JC3:JC42=FH8)*(JF3:JF42=FH4)*JK3:JK42)+SUMPRODUCT((JC3:JC42=FH8)*(JF3:JF42=FH5)*JK3:JK42)+SUMPRODUCT((JC3:JC42=FH8)*(JF3:JF42=FH6)*JK3:JK42)+SUMPRODUCT((JC3:JC42=FH8)*(JF3:JF42=FH7)*JK3:JK42)+SUMPRODUCT((JC3:JC42=FH4)*(JF3:JF42=FH8)*JL3:JL42)+SUMPRODUCT((JC3:JC42=FH5)*(JF3:JF42=FH8)*JL3:JL42)+SUMPRODUCT((JC3:JC42=FH6)*(JF3:JF42=FH8)*JL3:JL42)+SUMPRODUCT((JC3:JC42=FH7)*(JF3:JF42=FH8)*JL3:JL42)</f>
        <v>0</v>
      </c>
      <c r="FW8" s="75">
        <f ca="1">FI8*4+FJ8*2+FU8+FV8</f>
        <v>0</v>
      </c>
      <c r="FX8" s="75">
        <f ca="1">IF(FH8&lt;&gt;"",RANK(FW8,FW4:FW8),"")</f>
        <v>1</v>
      </c>
      <c r="FY8" s="75">
        <f ca="1">SUMPRODUCT((FW4:FW8=FW8)*(FN4:FN8&gt;FN8))</f>
        <v>0</v>
      </c>
      <c r="FZ8" s="75">
        <f ca="1">SUMPRODUCT((FW4:FW8=FW8)*(FN4:FN8=FN8)*(FQ4:FQ8&gt;FQ8))</f>
        <v>0</v>
      </c>
      <c r="GA8" s="75">
        <f ca="1">SUMPRODUCT((FW4:FW8=FW8)*(FN4:FN8=FN8)*(FQ4:FQ8=FQ8)*(FR4:FR8&gt;FR8))</f>
        <v>0</v>
      </c>
      <c r="GB8" s="75">
        <f ca="1">SUMPRODUCT((FW4:FW8=FW8)*(FN4:FN8=FN8)*(FQ4:FQ8=FQ8)*(FR4:FR8=FR8)*(FS4:FS8&gt;FS8))</f>
        <v>0</v>
      </c>
      <c r="GC8" s="75">
        <f ca="1">SUMPRODUCT((FW4:FW8=FW8)*(FN4:FN8=FN8)*(FQ4:FQ8=FQ8)*(FR4:FR8=FR8)*(FS4:FS8=FS8)*(FT4:FT8&gt;FT8))</f>
        <v>0</v>
      </c>
      <c r="GD8" s="75">
        <f t="shared" ca="1" si="37"/>
        <v>1</v>
      </c>
      <c r="GE8" s="75" t="str">
        <f ca="1">IF(FH8&lt;&gt;"",INDEX(FH4:FH8,MATCH(5,GD4:GD8,0),0),"")</f>
        <v>England</v>
      </c>
      <c r="GF8" s="75" t="str">
        <f ca="1">IF(FD7&lt;&gt;"",FD7,"")</f>
        <v/>
      </c>
      <c r="GG8" s="75" t="str">
        <f ca="1">IF(GF8&lt;&gt;"",SUMPRODUCT((JC3:JC42=GF8)*(JF3:JF42=GF5)*(JM3:JM42="W"))+SUMPRODUCT((JC3:JC42=GF8)*(JF3:JF42=GF6)*(JM3:JM42="W"))+SUMPRODUCT((JC3:JC42=GF8)*(JF3:JF42=GF7)*(JM3:JM42="W"))+SUMPRODUCT((JC3:JC42=GF5)*(JF3:JF42=GF8)*(JM3:JM42="W"))+SUMPRODUCT((JC3:JC42=GF6)*(JF3:JF42=GF8)*(JM3:JM42="W"))+SUMPRODUCT((JC3:JC42=GF7)*(JF3:JF42=GF8)*(JM3:JM42="W")),"")</f>
        <v/>
      </c>
      <c r="GH8" s="75" t="str">
        <f ca="1">IF(GF8&lt;&gt;"",SUMPRODUCT((JC3:JC42=GF8)*(JF3:JF42=GF5)*(JM3:JM42="D"))+SUMPRODUCT((JC3:JC42=GF8)*(JF3:JF42=GF6)*(JM3:JM42="D"))+SUMPRODUCT((JC3:JC42=GF8)*(JF3:JF42=GF7)*(JM3:JM42="D"))+SUMPRODUCT((JC3:JC42=GF5)*(JF3:JF42=GF8)*(JM3:JM42="D"))+SUMPRODUCT((JC3:JC42=GF6)*(JF3:JF42=GF8)*(JM3:JM42="D"))+SUMPRODUCT((JC3:JC42=GF7)*(JF3:JF42=GF8)*(JM3:JM42="D")),"")</f>
        <v/>
      </c>
      <c r="GI8" s="75" t="str">
        <f ca="1">IF(GF8&lt;&gt;"",SUMPRODUCT((JC3:JC42=GF8)*(JF3:JF42=GF5)*(JM3:JM42="L"))+SUMPRODUCT((JC3:JC42=GF8)*(JF3:JF42=GF6)*(JM3:JM42="L"))+SUMPRODUCT((JC3:JC42=GF8)*(JF3:JF42=GF7)*(JM3:JM42="L"))+SUMPRODUCT((JC3:JC42=GF5)*(JF3:JF42=GF8)*(JM3:JM42="L"))+SUMPRODUCT((JC3:JC42=GF6)*(JF3:JF42=GF8)*(JM3:JM42="L"))+SUMPRODUCT((JC3:JC42=GF7)*(JF3:JF42=GF8)*(JM3:JM42="L")),"")</f>
        <v/>
      </c>
      <c r="GJ8" s="75">
        <f ca="1">IF(GF8&lt;&gt;"",VLOOKUP(GF8,EI4:EM29,5,FALSE),0)</f>
        <v>0</v>
      </c>
      <c r="GK8" s="75">
        <f ca="1">IF(GF8&lt;&gt;"",VLOOKUP(GF8,EI4:EN29,6,FALSE),0)</f>
        <v>0</v>
      </c>
      <c r="GL8" s="75">
        <f ca="1">GJ8-GK8+1000</f>
        <v>1000</v>
      </c>
      <c r="GM8" s="75">
        <f ca="1">IF(GF8&lt;&gt;"",VLOOKUP(GF8,EI4:EP29,8,FALSE),0)</f>
        <v>0</v>
      </c>
      <c r="GN8" s="75">
        <f ca="1">IF(GF8&lt;&gt;"",VLOOKUP(GF8,EI4:EQ29,9,FALSE),0)</f>
        <v>0</v>
      </c>
      <c r="GO8" s="75" t="str">
        <f ca="1">IF(GF8&lt;&gt;"",GM8-GN8+1000,"")</f>
        <v/>
      </c>
      <c r="GP8" s="75" t="str">
        <f ca="1">IF(GF8&lt;&gt;"",VLOOKUP(GF8,EI4:EM8,5,FALSE),"")</f>
        <v/>
      </c>
      <c r="GQ8" s="75" t="str">
        <f ca="1">IF(GF8&lt;&gt;"",VLOOKUP(GF8,EI4:EP8,8,FALSE),"")</f>
        <v/>
      </c>
      <c r="GR8" s="75" t="str">
        <f ca="1">IF(GF8&lt;&gt;"",VLOOKUP(GF8,EI4:EW8,15,FALSE),"")</f>
        <v/>
      </c>
      <c r="GS8" s="75" t="str">
        <f ca="1">IF(GF8&lt;&gt;"",SUMPRODUCT((JC3:JC42=GF8)*(JF3:JF42=GF5)*JI3:JI42)+SUMPRODUCT((JC3:JC42=GF8)*(JF3:JF42=GF6)*JI3:JI42)+SUMPRODUCT((JC3:JC42=GF8)*(JF3:JF42=GF7)*JI3:JI42)+SUMPRODUCT((JC3:JC42=GF5)*(JF3:JF42=GF8)*JJ3:JJ42)+SUMPRODUCT((JC3:JC42=GF6)*(JF3:JF42=GF8)*JJ3:JJ42)+SUMPRODUCT((JC3:JC42=GF7)*(JF3:JF42=GF8)*JJ3:JJ42),"")</f>
        <v/>
      </c>
      <c r="GT8" s="75" t="str">
        <f ca="1">IF(GF8&lt;&gt;"",SUMPRODUCT((JC3:JC42=GF8)*(JF3:JF42=GF5)*JK3:JK42)+SUMPRODUCT((JC3:JC42=GF8)*(JF3:JF42=GF6)*JK3:JK42)+SUMPRODUCT((JC3:JC42=GF8)*(JF3:JF42=GF7)*JK3:JK42)+SUMPRODUCT((JC3:JC42=GF5)*(JF3:JF42=GF8)*JL3:JL42)+SUMPRODUCT((JC3:JC42=GF6)*(JF3:JF42=GF8)*JL3:JL42)+SUMPRODUCT((JC3:JC42=GF7)*(JF3:JF42=GF8)*JL3:JL42),"")</f>
        <v/>
      </c>
      <c r="GU8" s="75" t="str">
        <f ca="1">IF(GF8&lt;&gt;"",GG8*4+GH8*2+GS8+GT8,"")</f>
        <v/>
      </c>
      <c r="GV8" s="75" t="str">
        <f ca="1">IF(GF8&lt;&gt;"",RANK(GU8,GU5:GU8),"")</f>
        <v/>
      </c>
      <c r="GW8" s="75">
        <f ca="1">SUMPRODUCT((GU5:GU8=GU8)*(GL5:GL8&gt;GL8))</f>
        <v>0</v>
      </c>
      <c r="GX8" s="75">
        <f ca="1">SUMPRODUCT((GU5:GU8=GU8)*(GL5:GL8=GL8)*(GO5:GO8&gt;GO8))</f>
        <v>0</v>
      </c>
      <c r="GY8" s="75">
        <f ca="1">SUMPRODUCT((GU4:GU8=GU8)*(GL4:GL8=GL8)*(GO4:GO8=GO8)*(GP4:GP8&gt;GP8))</f>
        <v>0</v>
      </c>
      <c r="GZ8" s="75">
        <f ca="1">SUMPRODUCT((GU4:GU8=GU8)*(GL4:GL8=GL8)*(GO4:GO8=GO8)*(GP4:GP8=GP8)*(GQ4:GQ8&gt;GQ8))</f>
        <v>0</v>
      </c>
      <c r="HA8" s="75">
        <f ca="1">SUMPRODUCT((GU4:GU8=GU8)*(GL4:GL8=GL8)*(GO4:GO8=GO8)*(GP4:GP8=GP8)*(GQ4:GQ8=GQ8)*(GR4:GR8&gt;GR8))</f>
        <v>0</v>
      </c>
      <c r="HB8" s="75" t="str">
        <f t="shared" ca="1" si="41"/>
        <v/>
      </c>
      <c r="HC8" s="75" t="str">
        <f ca="1">IF(GF8&lt;&gt;"",INDEX(GF5:GF8,MATCH(5,HB5:HB8,0),0),"")</f>
        <v/>
      </c>
      <c r="HD8" s="75" t="str">
        <f ca="1">IF(FE6&lt;&gt;"",FE6,"")</f>
        <v/>
      </c>
      <c r="HE8" s="75" t="str">
        <f ca="1">IF(HD8&lt;&gt;"",SUMPRODUCT((JC3:JC42=HD8)*(JF3:JF42=HD9)*(JM3:JM42="W"))+SUMPRODUCT((JC3:JC42=HD8)*(JF3:JF42=HD6)*(JM3:JM42="W"))+SUMPRODUCT((JC3:JC42=HD8)*(JF3:JF42=HD7)*(JM3:JM42="W"))+SUMPRODUCT((JC3:JC42=HD9)*(JF3:JF42=HD8)*(JN3:JN42="W"))+SUMPRODUCT((JC3:JC42=HD6)*(JF3:JF42=HD8)*(JN3:JN42="W"))+SUMPRODUCT((JC3:JC42=HD7)*(JF3:JF42=HD8)*(JN3:JN42="W")),"")</f>
        <v/>
      </c>
      <c r="HF8" s="75" t="str">
        <f ca="1">IF(HD8&lt;&gt;"",SUMPRODUCT((JC3:JC42=HD8)*(JF3:JF42=HD9)*(JM3:JM42="D"))+SUMPRODUCT((JC3:JC42=HD8)*(JF3:JF42=HD6)*(JM3:JM42="D"))+SUMPRODUCT((JC3:JC42=HD8)*(JF3:JF42=HD7)*(JM3:JM42="D"))+SUMPRODUCT((JC3:JC42=HD9)*(JF3:JF42=HD8)*(JM3:JM42="D"))+SUMPRODUCT((JC3:JC42=HD6)*(JF3:JF42=HD8)*(JM3:JM42="D"))+SUMPRODUCT((JC3:JC42=HD7)*(JF3:JF42=HD8)*(JM3:JM42="D")),"")</f>
        <v/>
      </c>
      <c r="HG8" s="75" t="str">
        <f ca="1">IF(HD8&lt;&gt;"",SUMPRODUCT((JC3:JC42=HD8)*(JF3:JF42=HD9)*(JM3:JM42="L"))+SUMPRODUCT((JC3:JC42=HD8)*(JF3:JF42=HD6)*(JM3:JM42="L"))+SUMPRODUCT((JC3:JC42=HD8)*(JF3:JF42=HD7)*(JM3:JM42="L"))+SUMPRODUCT((JC3:JC42=HD9)*(JF3:JF42=HD8)*(JN3:JN42="L"))+SUMPRODUCT((JC3:JC42=HD6)*(JF3:JF42=HD8)*(JN3:JN42="L"))+SUMPRODUCT((JC3:JC42=HD7)*(JF3:JF42=HD8)*(JN3:JN42="L")),"")</f>
        <v/>
      </c>
      <c r="HH8" s="75">
        <f ca="1">IF(HD8&lt;&gt;"",VLOOKUP(HD8,EI4:EM29,5,FALSE),0)</f>
        <v>0</v>
      </c>
      <c r="HI8" s="75">
        <f ca="1">IF(HD8&lt;&gt;"",VLOOKUP(HD8,EI4:EN29,6,FALSE),0)</f>
        <v>0</v>
      </c>
      <c r="HJ8" s="75">
        <f ca="1">HH8-HI8+1000</f>
        <v>1000</v>
      </c>
      <c r="HK8" s="75">
        <f ca="1">IF(HD8&lt;&gt;"",VLOOKUP(HD8,EI4:EP29,8,FALSE),0)</f>
        <v>0</v>
      </c>
      <c r="HL8" s="75">
        <f ca="1">IF(HD8&lt;&gt;"",VLOOKUP(HD8,EI4:EQ29,9,FALSE),0)</f>
        <v>0</v>
      </c>
      <c r="HM8" s="75" t="str">
        <f ca="1">IF(HD8&lt;&gt;"",HK8-HL8+1000,"")</f>
        <v/>
      </c>
      <c r="HN8" s="75" t="str">
        <f ca="1">IF(HD8&lt;&gt;"",VLOOKUP(HD8,EI4:EM8,5,FALSE),"")</f>
        <v/>
      </c>
      <c r="HO8" s="75" t="str">
        <f ca="1">IF(HD8&lt;&gt;"",VLOOKUP(HD8,EI4:EP8,8,FALSE),"")</f>
        <v/>
      </c>
      <c r="HP8" s="75" t="str">
        <f ca="1">IF(HD8&lt;&gt;"",VLOOKUP(HD8,EI4:EW8,15,FALSE),"")</f>
        <v/>
      </c>
      <c r="HQ8" s="75" t="str">
        <f ca="1">IF(HD8&lt;&gt;"",SUMPRODUCT((JC3:JC42=HD8)*(JF3:JF42=HD9)*JI3:JI42)+SUMPRODUCT((JC3:JC42=HD8)*(JF3:JF42=HD6)*JI3:JI42)+SUMPRODUCT((JC3:JC42=HD8)*(JF3:JF42=HD7)*JI3:JI42)+SUMPRODUCT((JC3:JC42=HD9)*(JF3:JF42=HD8)*JJ3:JJ42)+SUMPRODUCT((JC3:JC42=HD6)*(JF3:JF42=HD8)*JJ3:JJ42)+SUMPRODUCT((JC3:JC42=HD7)*(JF3:JF42=HD8)*JJ3:JJ42),"")</f>
        <v/>
      </c>
      <c r="HR8" s="75" t="str">
        <f ca="1">IF(HD8&lt;&gt;"",SUMPRODUCT((JC3:JC42=HD8)*(JF3:JF42=HD9)*JK3:JK42)+SUMPRODUCT((JC3:JC42=HD8)*(JF3:JF42=HD6)*JK3:JK42)+SUMPRODUCT((JC3:JC42=HD8)*(JF3:JF42=HD7)*JK3:JK42)+SUMPRODUCT((JC3:JC42=HD9)*(JF3:JF42=HD8)*JL3:JL42)+SUMPRODUCT((JC3:JC42=HD6)*(JF3:JF42=HD8)*JL3:JL42)+SUMPRODUCT((JC3:JC42=HD7)*(JF3:JF42=HD8)*JL3:JL42),"")</f>
        <v/>
      </c>
      <c r="HS8" s="75" t="str">
        <f ca="1">IF(HD8&lt;&gt;"",HE8*4+HF8*2+HQ8+HR8,"")</f>
        <v/>
      </c>
      <c r="HT8" s="75" t="str">
        <f ca="1">IF(HD8&lt;&gt;"",RANK(HS8,HS6:HS9),"")</f>
        <v/>
      </c>
      <c r="HU8" s="75">
        <f ca="1">SUMPRODUCT((HS6:HS9=HS8)*(HJ6:HJ9&gt;HJ8))</f>
        <v>0</v>
      </c>
      <c r="HV8" s="75">
        <f ca="1">SUMPRODUCT((HS6:HS9=HS8)*(HJ6:HJ9=HJ8)*(HM6:HM9&gt;HM8))</f>
        <v>0</v>
      </c>
      <c r="HW8" s="75">
        <f ca="1">SUMPRODUCT((HS4:HS8=HS8)*(HJ4:HJ8=HJ8)*(HM4:HM8=HM8)*(HN4:HN8&gt;HN8))</f>
        <v>0</v>
      </c>
      <c r="HX8" s="75">
        <f ca="1">SUMPRODUCT((HS4:HS8=HS8)*(HJ4:HJ8=HJ8)*(HM4:HM8=HM8)*(HN4:HN8=HN8)*(HO4:HO8&gt;HO8))</f>
        <v>0</v>
      </c>
      <c r="HY8" s="75">
        <f ca="1">SUMPRODUCT((HS4:HS8=HS8)*(HJ4:HJ8=HJ8)*(HM4:HM8=HM8)*(HN4:HN8=HN8)*(HO4:HO8=HO8)*(HP4:HP8&gt;HP8))</f>
        <v>0</v>
      </c>
      <c r="HZ8" s="75" t="str">
        <f t="shared" ca="1" si="43"/>
        <v/>
      </c>
      <c r="IA8" s="75" t="str">
        <f ca="1">IF(HD8&lt;&gt;"",INDEX(HD6:HD8,MATCH(5,HZ6:HZ8,0),0),"")</f>
        <v/>
      </c>
      <c r="IB8" s="75" t="str">
        <f ca="1">IF(FF5&lt;&gt;"",FF5,"")</f>
        <v/>
      </c>
      <c r="IC8" s="75">
        <f ca="1">SUMPRODUCT((JC3:JC42=IB8)*(JF3:JF42=IB9)*(JM3:JM42="W"))+SUMPRODUCT((JC3:JC42=IB8)*(JF3:JF42=IB10)*(JM3:JM42="W"))+SUMPRODUCT((JC3:JC42=IB8)*(JF3:JF42=IB7)*(JM3:JM42="W"))+SUMPRODUCT((JC3:JC42=IB9)*(JF3:JF42=IB8)*(JN3:JN42="W"))+SUMPRODUCT((JC3:JC42=IB10)*(JF3:JF42=IB8)*(JN3:JN42="W"))+SUMPRODUCT((JC3:JC42=IB7)*(JF3:JF42=IB8)*(JN3:JN42="W"))</f>
        <v>0</v>
      </c>
      <c r="ID8" s="75">
        <f ca="1">SUMPRODUCT((JC3:JC42=IB8)*(JF3:JF42=IB9)*(JM3:JM42="D"))+SUMPRODUCT((JC3:JC42=IB8)*(JF3:JF42=IB10)*(JM3:JM42="D"))+SUMPRODUCT((JC3:JC42=IB8)*(JF3:JF42=IB7)*(JM3:JM42="D"))+SUMPRODUCT((JC3:JC42=IB9)*(JF3:JF42=IB8)*(JM3:JM42="D"))+SUMPRODUCT((JC3:JC42=IB10)*(JF3:JF42=IB8)*(JM3:JM42="D"))+SUMPRODUCT((JC3:JC42=IB7)*(JF3:JF42=IB8)*(JM3:JM42="D"))</f>
        <v>0</v>
      </c>
      <c r="IE8" s="75">
        <f ca="1">SUMPRODUCT((JC3:JC42=IB8)*(JF3:JF42=IB9)*(JM3:JM42="L"))+SUMPRODUCT((JC3:JC42=IB8)*(JF3:JF42=IB10)*(JM3:JM42="L"))+SUMPRODUCT((JC3:JC42=IB8)*(JF3:JF42=IB7)*(JM3:JM42="L"))+SUMPRODUCT((JC3:JC42=IB9)*(JF3:JF42=IB8)*(JN3:JN42="L"))+SUMPRODUCT((JC3:JC42=IB10)*(JF3:JF42=IB8)*(JN3:JN42="L"))+SUMPRODUCT((JC3:JC42=IB7)*(JF3:JF42=IB8)*(JN3:JN42="L"))</f>
        <v>0</v>
      </c>
      <c r="IF8" s="75">
        <f ca="1">IF(IB8&lt;&gt;"",VLOOKUP(IB8,EI4:EM29,5,FALSE),0)</f>
        <v>0</v>
      </c>
      <c r="IG8" s="75">
        <f ca="1">IF(IB8&lt;&gt;"",VLOOKUP(IB8,EI4:EN29,6,FALSE),0)</f>
        <v>0</v>
      </c>
      <c r="IH8" s="75">
        <f ca="1">IF8-IG8+1000</f>
        <v>1000</v>
      </c>
      <c r="II8" s="75">
        <f ca="1">IF(IB8&lt;&gt;"",VLOOKUP(IB8,EI4:EP29,8,FALSE),0)</f>
        <v>0</v>
      </c>
      <c r="IJ8" s="75">
        <f ca="1">IF(IB8&lt;&gt;"",VLOOKUP(IB8,EI4:EQ29,9,FALSE),0)</f>
        <v>0</v>
      </c>
      <c r="IK8" s="75">
        <f t="shared" ref="IK8" ca="1" si="46">II8-IJ8+1000</f>
        <v>1000</v>
      </c>
      <c r="IL8" s="75" t="str">
        <f ca="1">IF(IB8&lt;&gt;"",VLOOKUP(IB8,EI4:EM8,5,FALSE),"")</f>
        <v/>
      </c>
      <c r="IM8" s="75" t="str">
        <f ca="1">IF(IB8&lt;&gt;"",VLOOKUP(IB8,EI4:EP8,8,FALSE),"")</f>
        <v/>
      </c>
      <c r="IN8" s="75" t="str">
        <f ca="1">IF(IB8&lt;&gt;"",VLOOKUP(IB8,EI4:EW8,15,FALSE),"")</f>
        <v/>
      </c>
      <c r="IO8" s="75">
        <f ca="1">SUMPRODUCT((JC3:JC42=IB8)*(JF3:JF42=IB9)*JI3:JI42)+SUMPRODUCT((JC3:JC42=IB8)*(JF3:JF42=IB10)*JI3:JI42)+SUMPRODUCT((JC3:JC42=IB8)*(JF3:JF42=IB7)*JI3:JI42)+SUMPRODUCT((JC3:JC42=IB9)*(JF3:JF42=IB8)*JJ3:JJ42)+SUMPRODUCT((JC3:JC42=IB10)*(JF3:JF42=IB8)*JJ3:JJ42)+SUMPRODUCT((JC3:JC42=IB7)*(JF3:JF42=IB8)*JJ3:JJ42)</f>
        <v>0</v>
      </c>
      <c r="IP8" s="75">
        <f ca="1">SUMPRODUCT((JC3:JC42=IB8)*(JF3:JF42=IB9)*JK3:JK42)+SUMPRODUCT((JC3:JC42=IB8)*(JF3:JF42=IB10)*JK3:JK42)+SUMPRODUCT((JC3:JC42=IB8)*(JF3:JF42=IB7)*JK3:JK42)+SUMPRODUCT((JC3:JC42=IB9)*(JF3:JF42=IB8)*JL3:JL42)+SUMPRODUCT((JC3:JC42=IB10)*(JF3:JF42=IB8)*JL3:JL42)+SUMPRODUCT((JC3:JC42=IB7)*(JF3:JF42=IB8)*JL3:JL42)</f>
        <v>0</v>
      </c>
      <c r="IQ8" s="75">
        <f t="shared" ref="IQ8" ca="1" si="47">IC8*4+ID8*2+IO8+IP8</f>
        <v>0</v>
      </c>
      <c r="IR8" s="75" t="str">
        <f ca="1">IF(IB8&lt;&gt;"",RANK(IQ8,IQ7:IQ10),"")</f>
        <v/>
      </c>
      <c r="IS8" s="75">
        <f ca="1">SUMPRODUCT((IQ7:IQ10=IQ8)*(IH7:IH10&gt;IH8))</f>
        <v>0</v>
      </c>
      <c r="IT8" s="75">
        <f ca="1">SUMPRODUCT((IQ7:IQ10=IQ8)*(IH7:IH10=IH8)*(IK7:IK10&gt;IK8))</f>
        <v>0</v>
      </c>
      <c r="IU8" s="75">
        <f ca="1">SUMPRODUCT((IQ4:IQ8=IQ8)*(IH4:IH8=IH8)*(IK4:IK8=IK8)*(IL4:IL8&gt;IL8))</f>
        <v>0</v>
      </c>
      <c r="IV8" s="75">
        <f ca="1">SUMPRODUCT((IQ4:IQ8=IQ8)*(IH4:IH8=IH8)*(IK4:IK8=IK8)*(IL4:IL8=IL8)*(IM4:IM8&gt;IM8))</f>
        <v>0</v>
      </c>
      <c r="IW8" s="75">
        <f ca="1">SUMPRODUCT((IQ4:IQ8=IQ8)*(IH4:IH8=IH8)*(IK4:IK8=IK8)*(IL4:IL8=IL8)*(IM4:IM8=IM8)*(IN4:IN8&gt;IN8))</f>
        <v>0</v>
      </c>
      <c r="IX8" s="75" t="str">
        <f ca="1">IF(IB8&lt;&gt;"",SUM(IR8:IW8)+3,"")</f>
        <v/>
      </c>
      <c r="IY8" s="75" t="str">
        <f ca="1">IF(IB7&lt;&gt;"",IF(IB7=IY7,IB8,IB7),"")</f>
        <v/>
      </c>
      <c r="IZ8" s="75" t="str">
        <f ca="1">IF(IY8&lt;&gt;"",IY8,IF(IA8&lt;&gt;"",IA8,IF(HC8&lt;&gt;"",HC8,IF(GE8&lt;&gt;"",GE8,FA8))))</f>
        <v>England</v>
      </c>
      <c r="JA8" s="75">
        <v>5</v>
      </c>
      <c r="JB8" s="75">
        <v>6</v>
      </c>
      <c r="JC8" s="75" t="str">
        <f t="shared" si="4"/>
        <v>Samoa</v>
      </c>
      <c r="JD8" s="75" t="str">
        <f ca="1">IF(OFFSET('Prediction Sheet'!$W18,0,JD$1)&lt;&gt;"",OFFSET('Prediction Sheet'!$W18,0,JD$1),"")</f>
        <v/>
      </c>
      <c r="JE8" s="75" t="str">
        <f ca="1">IF(OFFSET('Prediction Sheet'!$Y18,0,JD$1)&lt;&gt;"",OFFSET('Prediction Sheet'!$Y18,0,JD$1),"")</f>
        <v/>
      </c>
      <c r="JF8" s="75" t="str">
        <f t="shared" si="5"/>
        <v>USA</v>
      </c>
      <c r="JG8" s="75" t="str">
        <f ca="1">IF(OFFSET('Prediction Sheet'!$AA18,0,JF$1)&lt;&gt;"",OFFSET('Prediction Sheet'!$AA18,0,JF$1),"")</f>
        <v/>
      </c>
      <c r="JH8" s="75" t="str">
        <f ca="1">IF(OFFSET('Prediction Sheet'!$AC18,0,JG$1)&lt;&gt;"",OFFSET('Prediction Sheet'!$AC18,0,JG$1),"")</f>
        <v/>
      </c>
      <c r="JI8" s="75">
        <f t="shared" ca="1" si="6"/>
        <v>0</v>
      </c>
      <c r="JJ8" s="75">
        <f t="shared" ca="1" si="7"/>
        <v>0</v>
      </c>
      <c r="JK8" s="75">
        <f t="shared" ca="1" si="8"/>
        <v>0</v>
      </c>
      <c r="JL8" s="75">
        <f t="shared" ca="1" si="9"/>
        <v>0</v>
      </c>
      <c r="JM8" s="75" t="str">
        <f t="shared" ca="1" si="10"/>
        <v/>
      </c>
      <c r="JN8" s="75" t="str">
        <f t="shared" ca="1" si="11"/>
        <v/>
      </c>
    </row>
    <row r="9" spans="1:274" x14ac:dyDescent="0.2">
      <c r="DU9" s="75">
        <v>7</v>
      </c>
      <c r="DV9" s="75" t="str">
        <f>Tournament!H19</f>
        <v>Wales</v>
      </c>
      <c r="DW9" s="75">
        <f>IF(AND(Tournament!J19&lt;&gt;"",Tournament!L19&lt;&gt;""),Tournament!J19,0)</f>
        <v>0</v>
      </c>
      <c r="DX9" s="75">
        <f>IF(AND(Tournament!L19&lt;&gt;"",Tournament!J19&lt;&gt;""),Tournament!L19,0)</f>
        <v>0</v>
      </c>
      <c r="DY9" s="75" t="str">
        <f>Tournament!N19</f>
        <v>Uruguay</v>
      </c>
      <c r="DZ9" s="75">
        <f>IF(Tournament!O19&lt;&gt;"",Tournament!O19,0)</f>
        <v>0</v>
      </c>
      <c r="EA9" s="75">
        <f>IF(Tournament!Q19&lt;&gt;"",Tournament!Q19,0)</f>
        <v>0</v>
      </c>
      <c r="EB9" s="75">
        <f>IF(DW9&lt;&gt;"",IF(Tournament!O19&gt;3,1,0),0)</f>
        <v>1</v>
      </c>
      <c r="EC9" s="75">
        <f>IF(DX9&lt;&gt;"",IF(Tournament!Q19&gt;3,1,0),0)</f>
        <v>1</v>
      </c>
      <c r="ED9" s="75">
        <f t="shared" si="1"/>
        <v>0</v>
      </c>
      <c r="EE9" s="75">
        <f t="shared" si="2"/>
        <v>0</v>
      </c>
      <c r="EF9" s="75" t="str">
        <f>IF(AND(Tournament!J19&lt;&gt;"",Tournament!L19&lt;&gt;""),IF(DW9&gt;DX9,"W",IF(DW9=DX9,"D","L")),"")</f>
        <v/>
      </c>
      <c r="EG9" s="75" t="str">
        <f t="shared" si="3"/>
        <v/>
      </c>
      <c r="JB9" s="75">
        <v>7</v>
      </c>
      <c r="JC9" s="75" t="str">
        <f t="shared" si="4"/>
        <v>Wales</v>
      </c>
      <c r="JD9" s="75" t="str">
        <f ca="1">IF(OFFSET('Prediction Sheet'!$W19,0,JD$1)&lt;&gt;"",OFFSET('Prediction Sheet'!$W19,0,JD$1),"")</f>
        <v/>
      </c>
      <c r="JE9" s="75" t="str">
        <f ca="1">IF(OFFSET('Prediction Sheet'!$Y19,0,JD$1)&lt;&gt;"",OFFSET('Prediction Sheet'!$Y19,0,JD$1),"")</f>
        <v/>
      </c>
      <c r="JF9" s="75" t="str">
        <f t="shared" si="5"/>
        <v>Uruguay</v>
      </c>
      <c r="JG9" s="75" t="str">
        <f ca="1">IF(OFFSET('Prediction Sheet'!$AA19,0,JF$1)&lt;&gt;"",OFFSET('Prediction Sheet'!$AA19,0,JF$1),"")</f>
        <v/>
      </c>
      <c r="JH9" s="75" t="str">
        <f ca="1">IF(OFFSET('Prediction Sheet'!$AC19,0,JG$1)&lt;&gt;"",OFFSET('Prediction Sheet'!$AC19,0,JG$1),"")</f>
        <v/>
      </c>
      <c r="JI9" s="75">
        <f t="shared" ca="1" si="6"/>
        <v>0</v>
      </c>
      <c r="JJ9" s="75">
        <f t="shared" ca="1" si="7"/>
        <v>0</v>
      </c>
      <c r="JK9" s="75">
        <f t="shared" ca="1" si="8"/>
        <v>0</v>
      </c>
      <c r="JL9" s="75">
        <f t="shared" ca="1" si="9"/>
        <v>0</v>
      </c>
      <c r="JM9" s="75" t="str">
        <f t="shared" ca="1" si="10"/>
        <v/>
      </c>
      <c r="JN9" s="75" t="str">
        <f t="shared" ca="1" si="11"/>
        <v/>
      </c>
    </row>
    <row r="10" spans="1:274" x14ac:dyDescent="0.2">
      <c r="DU10" s="75">
        <v>8</v>
      </c>
      <c r="DV10" s="75" t="str">
        <f>Tournament!H20</f>
        <v>New Zealand</v>
      </c>
      <c r="DW10" s="75">
        <f>IF(AND(Tournament!J20&lt;&gt;"",Tournament!L20&lt;&gt;""),Tournament!J20,0)</f>
        <v>0</v>
      </c>
      <c r="DX10" s="75">
        <f>IF(AND(Tournament!L20&lt;&gt;"",Tournament!J20&lt;&gt;""),Tournament!L20,0)</f>
        <v>0</v>
      </c>
      <c r="DY10" s="75" t="str">
        <f>Tournament!N20</f>
        <v>Argentina</v>
      </c>
      <c r="DZ10" s="75">
        <f>IF(Tournament!O20&lt;&gt;"",Tournament!O20,0)</f>
        <v>0</v>
      </c>
      <c r="EA10" s="75">
        <f>IF(Tournament!Q20&lt;&gt;"",Tournament!Q20,0)</f>
        <v>0</v>
      </c>
      <c r="EB10" s="75">
        <f>IF(DW10&lt;&gt;"",IF(Tournament!O20&gt;3,1,0),0)</f>
        <v>1</v>
      </c>
      <c r="EC10" s="75">
        <f>IF(DX10&lt;&gt;"",IF(Tournament!Q20&gt;3,1,0),0)</f>
        <v>1</v>
      </c>
      <c r="ED10" s="75">
        <f t="shared" si="1"/>
        <v>0</v>
      </c>
      <c r="EE10" s="75">
        <f t="shared" si="2"/>
        <v>0</v>
      </c>
      <c r="EF10" s="75" t="str">
        <f>IF(AND(Tournament!J20&lt;&gt;"",Tournament!L20&lt;&gt;""),IF(DW10&gt;DX10,"W",IF(DW10=DX10,"D","L")),"")</f>
        <v/>
      </c>
      <c r="EG10" s="75" t="str">
        <f t="shared" si="3"/>
        <v/>
      </c>
      <c r="JB10" s="75">
        <v>8</v>
      </c>
      <c r="JC10" s="75" t="str">
        <f t="shared" si="4"/>
        <v>New Zealand</v>
      </c>
      <c r="JD10" s="75" t="str">
        <f ca="1">IF(OFFSET('Prediction Sheet'!$W20,0,JD$1)&lt;&gt;"",OFFSET('Prediction Sheet'!$W20,0,JD$1),"")</f>
        <v/>
      </c>
      <c r="JE10" s="75" t="str">
        <f ca="1">IF(OFFSET('Prediction Sheet'!$Y20,0,JD$1)&lt;&gt;"",OFFSET('Prediction Sheet'!$Y20,0,JD$1),"")</f>
        <v/>
      </c>
      <c r="JF10" s="75" t="str">
        <f t="shared" si="5"/>
        <v>Argentina</v>
      </c>
      <c r="JG10" s="75" t="str">
        <f ca="1">IF(OFFSET('Prediction Sheet'!$AA20,0,JF$1)&lt;&gt;"",OFFSET('Prediction Sheet'!$AA20,0,JF$1),"")</f>
        <v/>
      </c>
      <c r="JH10" s="75" t="str">
        <f ca="1">IF(OFFSET('Prediction Sheet'!$AC20,0,JG$1)&lt;&gt;"",OFFSET('Prediction Sheet'!$AC20,0,JG$1),"")</f>
        <v/>
      </c>
      <c r="JI10" s="75">
        <f t="shared" ca="1" si="6"/>
        <v>0</v>
      </c>
      <c r="JJ10" s="75">
        <f t="shared" ca="1" si="7"/>
        <v>0</v>
      </c>
      <c r="JK10" s="75">
        <f t="shared" ca="1" si="8"/>
        <v>0</v>
      </c>
      <c r="JL10" s="75">
        <f t="shared" ca="1" si="9"/>
        <v>0</v>
      </c>
      <c r="JM10" s="75" t="str">
        <f t="shared" ca="1" si="10"/>
        <v/>
      </c>
      <c r="JN10" s="75" t="str">
        <f t="shared" ca="1" si="11"/>
        <v/>
      </c>
    </row>
    <row r="11" spans="1:274" x14ac:dyDescent="0.2">
      <c r="A11" s="75">
        <f>VLOOKUP(B11,DS11:DT15,2,FALSE)</f>
        <v>5</v>
      </c>
      <c r="B11" s="75" t="s">
        <v>40</v>
      </c>
      <c r="C11" s="75">
        <f t="shared" ref="C11:C15" si="48">COUNTIFS($DV$3:$DV$42,B11,$EF$3:$EF$42,"W")+COUNTIFS($DY$3:$DY$42,B11,$EG$3:$EG$42,"W")</f>
        <v>0</v>
      </c>
      <c r="D11" s="75">
        <f t="shared" ref="D11:D15" si="49">COUNTIFS($DV$3:$DV$42,B11,$EF$3:$EF$42,"D")+COUNTIFS($DY$3:$DY$42,B11,$EG$3:$EG$42,"D")</f>
        <v>0</v>
      </c>
      <c r="E11" s="75">
        <f t="shared" ref="E11:E15" si="50">COUNTIFS($DV$3:$DV$42,B11,$EF$3:$EF$42,"L")+COUNTIFS($DY$3:$DY$42,B11,$EG$3:$EG$42,"L")</f>
        <v>0</v>
      </c>
      <c r="F11" s="75">
        <f>SUMIF($DV$3:$DV$60,B11,$DW$3:$DW$60)+SUMIF($DY$3:$DY$60,B11,$DX$3:$DX$60)</f>
        <v>0</v>
      </c>
      <c r="G11" s="75">
        <f>SUMIF($DY$3:$DY$60,B11,$DW$3:$DW$60)+SUMIF($DV$3:$DV$60,B11,$DX$3:$DX$60)</f>
        <v>0</v>
      </c>
      <c r="H11" s="75">
        <f t="shared" ref="H11:H15" si="51">F11-G11+1000</f>
        <v>1000</v>
      </c>
      <c r="I11" s="75">
        <f>SUMIF(Tournament!$H$13:$H$52,B11,Tournament!$O$13:$O$52)+SUMIF(Tournament!$N$13:$N$52,B11,Tournament!$Q$13:$Q$52)</f>
        <v>0</v>
      </c>
      <c r="J11" s="75">
        <f>SUMIF(Tournament!$N$13:$N$52,B11,Tournament!$O$13:$O$52)+SUMIF(Tournament!$H$13:$H$52,B11,Tournament!$Q$13:$Q$52)</f>
        <v>0</v>
      </c>
      <c r="K11" s="75">
        <f t="shared" ref="K11:K15" si="52">I11-J11+1000</f>
        <v>1000</v>
      </c>
      <c r="L11" s="75">
        <f t="shared" ref="L11:L15" si="53">C11*4+D11*2</f>
        <v>0</v>
      </c>
      <c r="M11" s="75">
        <f>SUMIF(DV:DV,B11,EB:EB)+SUMIF(DY:DY,B11,EC:EC)</f>
        <v>4</v>
      </c>
      <c r="N11" s="75">
        <f>SUMIF(DV:DV,B11,ED:ED)+SUMIF(DY:DY,B11,EE:EE)</f>
        <v>0</v>
      </c>
      <c r="O11" s="75">
        <f t="shared" ref="O11:O15" si="54">N11+M11+L11</f>
        <v>4</v>
      </c>
      <c r="P11" s="75">
        <v>2</v>
      </c>
      <c r="Q11" s="75">
        <f>RANK(O11,O$11:O$15)</f>
        <v>1</v>
      </c>
      <c r="S11" s="75">
        <f>RANK(O11,$O$11:$O$15)+COUNTIF($O$11:O11,O11)-1</f>
        <v>1</v>
      </c>
      <c r="T11" s="75" t="str">
        <f>INDEX($B$11:$B$15,MATCH(1,$S$11:$S$15,0),0)</f>
        <v>South Africa</v>
      </c>
      <c r="U11" s="75">
        <f>INDEX($Q$11:$Q$15,MATCH(T11,$B$11:$B$15,0),0)</f>
        <v>1</v>
      </c>
      <c r="V11" s="75" t="str">
        <f>IF(U12=1,T11,"")</f>
        <v>South Africa</v>
      </c>
      <c r="W11" s="75" t="str">
        <f>IF(U13=2,T12,"")</f>
        <v/>
      </c>
      <c r="X11" s="75" t="str">
        <f>IF(U14=3,T13,"")</f>
        <v/>
      </c>
      <c r="Y11" s="75" t="str">
        <f>IF(U15=4,T14,"")</f>
        <v/>
      </c>
      <c r="AA11" s="75" t="str">
        <f>IF(V11&lt;&gt;"",V11,"")</f>
        <v>South Africa</v>
      </c>
      <c r="AB11" s="75">
        <f>SUMPRODUCT((DV3:DV42=AA11)*(DY3:DY42=AA12)*(EF3:EF42="W"))+SUMPRODUCT((DV3:DV42=AA11)*(DY3:DY42=AA13)*(EF3:EF42="W"))+SUMPRODUCT((DV3:DV42=AA11)*(DY3:DY42=AA14)*(EF3:EF42="W"))+SUMPRODUCT((DV3:DV42=AA11)*(DY3:DY42=AA15)*(EF3:EF42="W"))+SUMPRODUCT((DV3:DV42=AA12)*(DY3:DY42=AA11)*(EG3:EG42="W"))+SUMPRODUCT((DV3:DV42=AA13)*(DY3:DY42=AA11)*(EG3:EG42="W"))+SUMPRODUCT((DV3:DV42=AA14)*(DY3:DY42=AA11)*(EG3:EG42="W"))+SUMPRODUCT((DV3:DV42=AA15)*(DY3:DY42=AA11)*(EG3:EG42="W"))</f>
        <v>0</v>
      </c>
      <c r="AC11" s="75">
        <f>SUMPRODUCT((DV3:DV42=AA11)*(DY3:DY42=AA12)*(EF3:EF42="D"))+SUMPRODUCT((DV3:DV42=AA11)*(DY3:DY42=AA13)*(EF3:EF42="D"))+SUMPRODUCT((DV3:DV42=AA11)*(DY3:DY42=AA14)*(EF3:EF42="D"))+SUMPRODUCT((DV3:DV42=AA11)*(DY3:DY42=AA15)*(EF3:EF42="D"))+SUMPRODUCT((DV3:DV42=AA12)*(DY3:DY42=AA11)*(EF3:EF42="D"))+SUMPRODUCT((DV3:DV42=AA13)*(DY3:DY42=AA11)*(EF3:EF42="D"))+SUMPRODUCT((DV3:DV42=AA14)*(DY3:DY42=AA11)*(EF3:EF42="D"))+SUMPRODUCT((DV3:DV42=AA15)*(DY3:DY42=AA11)*(EF3:EF42="D"))</f>
        <v>0</v>
      </c>
      <c r="AD11" s="75">
        <f>SUMPRODUCT((DV3:DV42=AA11)*(DY3:DY42=AA12)*(EF3:EF42="L"))+SUMPRODUCT((DV3:DV42=AA11)*(DY3:DY42=AA13)*(EF3:EF42="L"))+SUMPRODUCT((DV3:DV42=AA11)*(DY3:DY42=AA14)*(EF3:EF42="L"))+SUMPRODUCT((DV3:DV42=AA11)*(DY3:DY42=AA15)*(EF3:EF42="L"))+SUMPRODUCT((DV3:DV42=AA12)*(DY3:DY42=AA11)*(EG3:EG42="L"))+SUMPRODUCT((DV3:DV42=AA13)*(DY3:DY42=AA11)*(EG3:EG42="L"))+SUMPRODUCT((DV3:DV42=AA14)*(DY3:DY42=AA11)*(EG3:EG42="L"))+SUMPRODUCT((DV3:DV42=AA15)*(DY3:DY42=AA11)*(EG3:EG42="L"))</f>
        <v>0</v>
      </c>
      <c r="AE11" s="75">
        <f>IF(AA11&lt;&gt;"",VLOOKUP(AA11,B4:F29,5,FALSE),0)</f>
        <v>0</v>
      </c>
      <c r="AF11" s="75">
        <f>IF(AA11&lt;&gt;"",VLOOKUP(AA11,B4:G29,6,FALSE),0)</f>
        <v>0</v>
      </c>
      <c r="AG11" s="75">
        <f>AE11-AF11+1000</f>
        <v>1000</v>
      </c>
      <c r="AH11" s="75">
        <f>IF(AA11&lt;&gt;"",VLOOKUP(AA11,B4:I29,8,FALSE),0)</f>
        <v>0</v>
      </c>
      <c r="AI11" s="75">
        <f>IF(AA11&lt;&gt;"",VLOOKUP(AA11,B4:J29,9,FALSE),0)</f>
        <v>0</v>
      </c>
      <c r="AJ11" s="75">
        <f>AH11-AI11+1000</f>
        <v>1000</v>
      </c>
      <c r="AK11" s="75">
        <f>IF(AA11&lt;&gt;"",VLOOKUP(AA11,B11:F15,5,FALSE),"")</f>
        <v>0</v>
      </c>
      <c r="AL11" s="75">
        <f>IF(AA11&lt;&gt;"",VLOOKUP(AA11,B11:I15,8,FALSE),"")</f>
        <v>0</v>
      </c>
      <c r="AM11" s="75">
        <f>IF(AA11&lt;&gt;"",VLOOKUP(AA11,B11:P15,15,FALSE),"")</f>
        <v>2</v>
      </c>
      <c r="AN11" s="75">
        <f>SUMPRODUCT((DV3:DV42=AA11)*(DY3:DY42=AA12)*EB3:EB42)+SUMPRODUCT((DV3:DV42=AA11)*(DY3:DY42=AA13)*EB3:EB42)+SUMPRODUCT((DV3:DV42=AA11)*(DY3:DY42=AA14)*EB3:EB42)+SUMPRODUCT((DV3:DV42=AA11)*(DY3:DY42=AA15)*EB3:EB42)+SUMPRODUCT((DV3:DV42=AA12)*(DY3:DY42=AA11)*EC3:EC42)+SUMPRODUCT((DV3:DV42=AA13)*(DY3:DY42=AA11)*EC3:EC42)+SUMPRODUCT((DV3:DV42=AA14)*(DY3:DY42=AA11)*EC3:EC42)+SUMPRODUCT((DV3:DV42=AA15)*(DY3:DY42=AA11)*EC3:EC42)</f>
        <v>4</v>
      </c>
      <c r="AO11" s="75">
        <f>SUMPRODUCT((DV3:DV42=AA11)*(DY3:DY42=AA12)*ED3:ED42)+SUMPRODUCT((DV3:DV42=AA11)*(DY3:DY42=AA13)*ED3:ED42)+SUMPRODUCT((DV3:DV42=AA11)*(DY3:DY42=AA14)*ED3:ED42)+SUMPRODUCT((DV3:DV42=AA11)*(DY3:DY42=AA15)*ED3:ED42)+SUMPRODUCT((DV3:DV42=AA12)*(DY3:DY42=AA11)*EE3:EE42)+SUMPRODUCT((DV3:DV42=AA13)*(DY3:DY42=AA11)*EE3:EE42)+SUMPRODUCT((DV3:DV42=AA14)*(DY3:DY42=AA11)*EE3:EE42)+SUMPRODUCT((DV3:DV42=AA15)*(DY3:DY42=AA11)*EE3:EE42)</f>
        <v>0</v>
      </c>
      <c r="AP11" s="75">
        <f>AB11*4+AC11*2+AN11+AO11</f>
        <v>4</v>
      </c>
      <c r="AQ11" s="75">
        <f>IF(AA11&lt;&gt;"",RANK(AP11,AP11:AP15),"")</f>
        <v>1</v>
      </c>
      <c r="AR11" s="75">
        <f>SUMPRODUCT((AP11:AP15=AP11)*(AG11:AG15&gt;AG11))</f>
        <v>0</v>
      </c>
      <c r="AS11" s="75">
        <f>SUMPRODUCT((AP11:AP15=AP11)*(AG11:AG15=AG11)*(AJ11:AJ15&gt;AJ11))</f>
        <v>0</v>
      </c>
      <c r="AT11" s="75">
        <f>SUMPRODUCT((AP11:AP15=AP11)*(AG11:AG15=AG11)*(AJ11:AJ15=AJ11)*(AK11:AK15&gt;AK11))</f>
        <v>0</v>
      </c>
      <c r="AU11" s="75">
        <f>SUMPRODUCT((AP11:AP15=AP11)*(AG11:AG15=AG11)*(AJ11:AJ15=AJ11)*(AK11:AK15=AK11)*(AL11:AL15&gt;AL11))</f>
        <v>0</v>
      </c>
      <c r="AV11" s="75">
        <f>SUMPRODUCT((AP11:AP15=AP11)*(AG11:AG15=AG11)*(AJ11:AJ15=AJ11)*(AK11:AK15=AK11)*(AL11:AL15=AL11)*(AM11:AM15&gt;AM11))</f>
        <v>4</v>
      </c>
      <c r="AW11" s="75">
        <f>IF(AA11&lt;&gt;"",SUM(AQ11:AV11),"")</f>
        <v>5</v>
      </c>
      <c r="AX11" s="75" t="str">
        <f>IF(AA11&lt;&gt;"",INDEX(AA11:AA15,MATCH(1,AW11:AW15,0),0),"")</f>
        <v>USA</v>
      </c>
      <c r="DS11" s="75" t="str">
        <f>IF(AX11&lt;&gt;"",AX11,T11)</f>
        <v>USA</v>
      </c>
      <c r="DT11" s="75">
        <v>1</v>
      </c>
      <c r="DU11" s="75">
        <v>9</v>
      </c>
      <c r="DV11" s="75" t="str">
        <f>Tournament!H21</f>
        <v>Scotland</v>
      </c>
      <c r="DW11" s="75">
        <f>IF(AND(Tournament!J21&lt;&gt;"",Tournament!L21&lt;&gt;""),Tournament!J21,0)</f>
        <v>0</v>
      </c>
      <c r="DX11" s="75">
        <f>IF(AND(Tournament!L21&lt;&gt;"",Tournament!J21&lt;&gt;""),Tournament!L21,0)</f>
        <v>0</v>
      </c>
      <c r="DY11" s="75" t="str">
        <f>Tournament!N21</f>
        <v>Japan</v>
      </c>
      <c r="DZ11" s="75">
        <f>IF(Tournament!O21&lt;&gt;"",Tournament!O21,0)</f>
        <v>0</v>
      </c>
      <c r="EA11" s="75">
        <f>IF(Tournament!Q21&lt;&gt;"",Tournament!Q21,0)</f>
        <v>0</v>
      </c>
      <c r="EB11" s="75">
        <f>IF(DW11&lt;&gt;"",IF(Tournament!O21&gt;3,1,0),0)</f>
        <v>1</v>
      </c>
      <c r="EC11" s="75">
        <f>IF(DX11&lt;&gt;"",IF(Tournament!Q21&gt;3,1,0),0)</f>
        <v>1</v>
      </c>
      <c r="ED11" s="75">
        <f t="shared" si="1"/>
        <v>0</v>
      </c>
      <c r="EE11" s="75">
        <f t="shared" si="2"/>
        <v>0</v>
      </c>
      <c r="EF11" s="75" t="str">
        <f>IF(AND(Tournament!J21&lt;&gt;"",Tournament!L21&lt;&gt;""),IF(DW11&gt;DX11,"W",IF(DW11=DX11,"D","L")),"")</f>
        <v/>
      </c>
      <c r="EG11" s="75" t="str">
        <f t="shared" si="3"/>
        <v/>
      </c>
      <c r="EH11" s="75">
        <f ca="1">VLOOKUP(EI11,IZ11:JA15,2,FALSE)</f>
        <v>5</v>
      </c>
      <c r="EI11" s="75" t="s">
        <v>40</v>
      </c>
      <c r="EJ11" s="75">
        <f t="shared" ref="EJ11:EJ15" ca="1" si="55">COUNTIFS(JC$3:JC$42,EI11,JM$3:JM$42,"W")+COUNTIFS(JF$3:JF$42,EI11,JN$3:JN$42,"W")</f>
        <v>0</v>
      </c>
      <c r="EK11" s="75">
        <f t="shared" ref="EK11:EK15" ca="1" si="56">COUNTIFS(JC$3:JC$42,EI11,JM$3:JM$42,"D")+COUNTIFS(JF$3:JF$42,EI11,JN$3:JN$42,"D")</f>
        <v>0</v>
      </c>
      <c r="EL11" s="75">
        <f t="shared" ref="EL11:EL15" ca="1" si="57">COUNTIFS(JC$3:JC$42,EI11,JM$3:JM$42,"L")+COUNTIFS(JF$3:JF$42,EI11,JN$3:JN$42,"L")</f>
        <v>0</v>
      </c>
      <c r="EM11" s="75">
        <f t="shared" ref="EM11:EM15" ca="1" si="58">SUMIF(JC$3:JC$60,EI11,JD$3:JD$60)+SUMIF(JF$3:JF$60,EI11,JE$3:JE$60)</f>
        <v>0</v>
      </c>
      <c r="EN11" s="75">
        <f ca="1">SUMIF(JF$3:JF$60,EI11,JD$3:JD$60)+SUMIF(JC$3:JC$60,EI11,JE$3:JE$60)</f>
        <v>0</v>
      </c>
      <c r="EO11" s="75">
        <f t="shared" ref="EO11:EO15" ca="1" si="59">EM11-EN11+1000</f>
        <v>1000</v>
      </c>
      <c r="EP11" s="75">
        <f ca="1">SUMIF(JC:JC,EI11,JG:JG)+SUMIF(JF:JF,EI11,JH:JH)</f>
        <v>0</v>
      </c>
      <c r="EQ11" s="75">
        <f ca="1">SUMIF(JF:JF,EI11,JG:JG)+SUMIF(JC:JC,EI11,JH:JH)</f>
        <v>0</v>
      </c>
      <c r="ER11" s="75">
        <f t="shared" ref="ER11:ER15" ca="1" si="60">EP11-EQ11+1000</f>
        <v>1000</v>
      </c>
      <c r="ES11" s="75">
        <f t="shared" ref="ES11:ES15" ca="1" si="61">EJ11*4+EK11*2</f>
        <v>0</v>
      </c>
      <c r="ET11" s="75">
        <f ca="1">SUMIF(JC:JC,EI11,JI:JI)+SUMIF(JF:JF,EI11,JJ:JJ)</f>
        <v>0</v>
      </c>
      <c r="EU11" s="75">
        <f ca="1">SUMIF(JC:JC,EI11,JK:JK)+SUMIF(JF:JF,EI11,JL:JL)</f>
        <v>0</v>
      </c>
      <c r="EV11" s="75">
        <f t="shared" ref="EV11:EV15" ca="1" si="62">EU11+ET11+ES11</f>
        <v>0</v>
      </c>
      <c r="EW11" s="75">
        <v>2</v>
      </c>
      <c r="EX11" s="75">
        <f ca="1">RANK(EV11,EV$11:EV$15)</f>
        <v>1</v>
      </c>
      <c r="EZ11" s="75">
        <f ca="1">RANK(EV11,EV$11:EV$15)+COUNTIF(EV$11:EV11,EV11)-1</f>
        <v>1</v>
      </c>
      <c r="FA11" s="75" t="str">
        <f ca="1">INDEX(EI$11:EI$15,MATCH(1,EZ$11:EZ$15,0),0)</f>
        <v>South Africa</v>
      </c>
      <c r="FB11" s="75">
        <f ca="1">INDEX(EX$11:EX$15,MATCH(FA11,EI$11:EI$15,0),0)</f>
        <v>1</v>
      </c>
      <c r="FC11" s="75" t="str">
        <f ca="1">IF(FB12=1,FA11,"")</f>
        <v>South Africa</v>
      </c>
      <c r="FD11" s="75" t="str">
        <f ca="1">IF(FB13=2,FA12,"")</f>
        <v/>
      </c>
      <c r="FE11" s="75" t="str">
        <f ca="1">IF(FB14=3,FA13,"")</f>
        <v/>
      </c>
      <c r="FF11" s="75" t="str">
        <f ca="1">IF(FB15=4,FA14,"")</f>
        <v/>
      </c>
      <c r="FH11" s="75" t="str">
        <f ca="1">IF(FC11&lt;&gt;"",FC11,"")</f>
        <v>South Africa</v>
      </c>
      <c r="FI11" s="75">
        <f ca="1">SUMPRODUCT((JC3:JC42=FH11)*(JF3:JF42=FH12)*(JM3:JM42="W"))+SUMPRODUCT((JC3:JC42=FH11)*(JF3:JF42=FH13)*(JM3:JM42="W"))+SUMPRODUCT((JC3:JC42=FH11)*(JF3:JF42=FH14)*(JM3:JM42="W"))+SUMPRODUCT((JC3:JC42=FH11)*(JF3:JF42=FH15)*(JM3:JM42="W"))+SUMPRODUCT((JC3:JC42=FH12)*(JF3:JF42=FH11)*(JN3:JN42="W"))+SUMPRODUCT((JC3:JC42=FH13)*(JF3:JF42=FH11)*(JN3:JN42="W"))+SUMPRODUCT((JC3:JC42=FH14)*(JF3:JF42=FH11)*(JN3:JN42="W"))+SUMPRODUCT((JC3:JC42=FH15)*(JF3:JF42=FH11)*(JN3:JN42="W"))</f>
        <v>0</v>
      </c>
      <c r="FJ11" s="75">
        <f ca="1">SUMPRODUCT((JC3:JC42=FH11)*(JF3:JF42=FH12)*(JM3:JM42="D"))+SUMPRODUCT((JC3:JC42=FH11)*(JF3:JF42=FH13)*(JM3:JM42="D"))+SUMPRODUCT((JC3:JC42=FH11)*(JF3:JF42=FH14)*(JM3:JM42="D"))+SUMPRODUCT((JC3:JC42=FH11)*(JF3:JF42=FH15)*(JM3:JM42="D"))+SUMPRODUCT((JC3:JC42=FH12)*(JF3:JF42=FH11)*(JM3:JM42="D"))+SUMPRODUCT((JC3:JC42=FH13)*(JF3:JF42=FH11)*(JM3:JM42="D"))+SUMPRODUCT((JC3:JC42=FH14)*(JF3:JF42=FH11)*(JM3:JM42="D"))+SUMPRODUCT((JC3:JC42=FH15)*(JF3:JF42=FH11)*(JM3:JM42="D"))</f>
        <v>0</v>
      </c>
      <c r="FK11" s="75">
        <f ca="1">SUMPRODUCT((JC3:JC42=FH11)*(JF3:JF42=FH12)*(JM3:JM42="L"))+SUMPRODUCT((JC3:JC42=FH11)*(JF3:JF42=FH13)*(JM3:JM42="L"))+SUMPRODUCT((JC3:JC42=FH11)*(JF3:JF42=FH14)*(JM3:JM42="L"))+SUMPRODUCT((JC3:JC42=FH11)*(JF3:JF42=FH15)*(JM3:JM42="L"))+SUMPRODUCT((JC3:JC42=FH12)*(JF3:JF42=FH11)*(JN3:JN42="L"))+SUMPRODUCT((JC3:JC42=FH13)*(JF3:JF42=FH11)*(JN3:JN42="L"))+SUMPRODUCT((JC3:JC42=FH14)*(JF3:JF42=FH11)*(JN3:JN42="L"))+SUMPRODUCT((JC3:JC42=FH15)*(JF3:JF42=FH11)*(JN3:JN42="L"))</f>
        <v>0</v>
      </c>
      <c r="FL11" s="75">
        <f ca="1">IF(FH11&lt;&gt;"",VLOOKUP(FH11,EI4:EM29,5,FALSE),0)</f>
        <v>0</v>
      </c>
      <c r="FM11" s="75">
        <f ca="1">IF(FH11&lt;&gt;"",VLOOKUP(FH11,EI4:EN29,6,FALSE),0)</f>
        <v>0</v>
      </c>
      <c r="FN11" s="75">
        <f ca="1">FL11-FM11+1000</f>
        <v>1000</v>
      </c>
      <c r="FO11" s="75">
        <f ca="1">IF(FH11&lt;&gt;"",VLOOKUP(FH11,EI4:EP29,8,FALSE),0)</f>
        <v>0</v>
      </c>
      <c r="FP11" s="75">
        <f ca="1">IF(FH11&lt;&gt;"",VLOOKUP(FH11,EI4:EQ29,9,FALSE),0)</f>
        <v>0</v>
      </c>
      <c r="FQ11" s="75">
        <f ca="1">FO11-FP11+1000</f>
        <v>1000</v>
      </c>
      <c r="FR11" s="75">
        <f ca="1">IF(FH11&lt;&gt;"",VLOOKUP(FH11,EI11:EM15,5,FALSE),"")</f>
        <v>0</v>
      </c>
      <c r="FS11" s="75">
        <f ca="1">IF(FH11&lt;&gt;"",VLOOKUP(FH11,EI11:EP15,8,FALSE),"")</f>
        <v>0</v>
      </c>
      <c r="FT11" s="75">
        <f ca="1">IF(FH11&lt;&gt;"",VLOOKUP(FH11,EI11:EW15,15,FALSE),"")</f>
        <v>2</v>
      </c>
      <c r="FU11" s="75">
        <f ca="1">SUMPRODUCT((JC3:JC42=FH11)*(JF3:JF42=FH12)*JI3:JI42)+SUMPRODUCT((JC3:JC42=FH11)*(JF3:JF42=FH13)*JI3:JI42)+SUMPRODUCT((JC3:JC42=FH11)*(JF3:JF42=FH14)*JI3:JI42)+SUMPRODUCT((JC3:JC42=FH11)*(JF3:JF42=FH15)*JI3:JI42)+SUMPRODUCT((JC3:JC42=FH12)*(JF3:JF42=FH11)*JJ3:JJ42)+SUMPRODUCT((JC3:JC42=FH13)*(JF3:JF42=FH11)*JJ3:JJ42)+SUMPRODUCT((JC3:JC42=FH14)*(JF3:JF42=FH11)*JJ3:JJ42)+SUMPRODUCT((JC3:JC42=FH15)*(JF3:JF42=FH11)*JJ3:JJ42)</f>
        <v>0</v>
      </c>
      <c r="FV11" s="75">
        <f ca="1">SUMPRODUCT((JC3:JC42=FH11)*(JF3:JF42=FH12)*JK3:JK42)+SUMPRODUCT((JC3:JC42=FH11)*(JF3:JF42=FH13)*JK3:JK42)+SUMPRODUCT((JC3:JC42=FH11)*(JF3:JF42=FH14)*JK3:JK42)+SUMPRODUCT((JC3:JC42=FH11)*(JF3:JF42=FH15)*JK3:JK42)+SUMPRODUCT((JC3:JC42=FH12)*(JF3:JF42=FH11)*JL3:JL42)+SUMPRODUCT((JC3:JC42=FH13)*(JF3:JF42=FH11)*JL3:JL42)+SUMPRODUCT((JC3:JC42=FH14)*(JF3:JF42=FH11)*JL3:JL42)+SUMPRODUCT((JC3:JC42=FH15)*(JF3:JF42=FH11)*JL3:JL42)</f>
        <v>0</v>
      </c>
      <c r="FW11" s="75">
        <f ca="1">FI11*4+FJ11*2+FU11+FV11</f>
        <v>0</v>
      </c>
      <c r="FX11" s="75">
        <f ca="1">IF(FH11&lt;&gt;"",RANK(FW11,FW11:FW15),"")</f>
        <v>1</v>
      </c>
      <c r="FY11" s="75">
        <f ca="1">SUMPRODUCT((FW11:FW15=FW11)*(FN11:FN15&gt;FN11))</f>
        <v>0</v>
      </c>
      <c r="FZ11" s="75">
        <f ca="1">SUMPRODUCT((FW11:FW15=FW11)*(FN11:FN15=FN11)*(FQ11:FQ15&gt;FQ11))</f>
        <v>0</v>
      </c>
      <c r="GA11" s="75">
        <f ca="1">SUMPRODUCT((FW11:FW15=FW11)*(FN11:FN15=FN11)*(FQ11:FQ15=FQ11)*(FR11:FR15&gt;FR11))</f>
        <v>0</v>
      </c>
      <c r="GB11" s="75">
        <f ca="1">SUMPRODUCT((FW11:FW15=FW11)*(FN11:FN15=FN11)*(FQ11:FQ15=FQ11)*(FR11:FR15=FR11)*(FS11:FS15&gt;FS11))</f>
        <v>0</v>
      </c>
      <c r="GC11" s="75">
        <f ca="1">SUMPRODUCT((FW11:FW15=FW11)*(FN11:FN15=FN11)*(FQ11:FQ15=FQ11)*(FR11:FR15=FR11)*(FS11:FS15=FS11)*(FT11:FT15&gt;FT11))</f>
        <v>4</v>
      </c>
      <c r="GD11" s="75">
        <f ca="1">IF(FH11&lt;&gt;"",SUM(FX11:GC11),"")</f>
        <v>5</v>
      </c>
      <c r="GE11" s="75" t="str">
        <f ca="1">IF(FH11&lt;&gt;"",INDEX(FH11:FH15,MATCH(1,GD11:GD15,0),0),"")</f>
        <v>USA</v>
      </c>
      <c r="IZ11" s="75" t="str">
        <f ca="1">IF(GE11&lt;&gt;"",GE11,FA11)</f>
        <v>USA</v>
      </c>
      <c r="JA11" s="75">
        <v>1</v>
      </c>
      <c r="JB11" s="75">
        <v>9</v>
      </c>
      <c r="JC11" s="75" t="str">
        <f t="shared" si="4"/>
        <v>Scotland</v>
      </c>
      <c r="JD11" s="75" t="str">
        <f ca="1">IF(OFFSET('Prediction Sheet'!$W21,0,JD$1)&lt;&gt;"",OFFSET('Prediction Sheet'!$W21,0,JD$1),"")</f>
        <v/>
      </c>
      <c r="JE11" s="75" t="str">
        <f ca="1">IF(OFFSET('Prediction Sheet'!$Y21,0,JD$1)&lt;&gt;"",OFFSET('Prediction Sheet'!$Y21,0,JD$1),"")</f>
        <v/>
      </c>
      <c r="JF11" s="75" t="str">
        <f t="shared" si="5"/>
        <v>Japan</v>
      </c>
      <c r="JG11" s="75" t="str">
        <f ca="1">IF(OFFSET('Prediction Sheet'!$AA21,0,JF$1)&lt;&gt;"",OFFSET('Prediction Sheet'!$AA21,0,JF$1),"")</f>
        <v/>
      </c>
      <c r="JH11" s="75" t="str">
        <f ca="1">IF(OFFSET('Prediction Sheet'!$AC21,0,JG$1)&lt;&gt;"",OFFSET('Prediction Sheet'!$AC21,0,JG$1),"")</f>
        <v/>
      </c>
      <c r="JI11" s="75">
        <f t="shared" ca="1" si="6"/>
        <v>0</v>
      </c>
      <c r="JJ11" s="75">
        <f t="shared" ca="1" si="7"/>
        <v>0</v>
      </c>
      <c r="JK11" s="75">
        <f t="shared" ca="1" si="8"/>
        <v>0</v>
      </c>
      <c r="JL11" s="75">
        <f t="shared" ca="1" si="9"/>
        <v>0</v>
      </c>
      <c r="JM11" s="75" t="str">
        <f t="shared" ca="1" si="10"/>
        <v/>
      </c>
      <c r="JN11" s="75" t="str">
        <f t="shared" ca="1" si="11"/>
        <v/>
      </c>
    </row>
    <row r="12" spans="1:274" x14ac:dyDescent="0.2">
      <c r="A12" s="75">
        <f>VLOOKUP(B12,DS11:DT15,2,FALSE)</f>
        <v>4</v>
      </c>
      <c r="B12" s="75" t="s">
        <v>42</v>
      </c>
      <c r="C12" s="75">
        <f t="shared" si="48"/>
        <v>0</v>
      </c>
      <c r="D12" s="75">
        <f t="shared" si="49"/>
        <v>0</v>
      </c>
      <c r="E12" s="75">
        <f t="shared" si="50"/>
        <v>0</v>
      </c>
      <c r="F12" s="75">
        <f>SUMIF($DV$3:$DV$60,B12,$DW$3:$DW$60)+SUMIF($DY$3:$DY$60,B12,$DX$3:$DX$60)</f>
        <v>0</v>
      </c>
      <c r="G12" s="75">
        <f>SUMIF($DY$3:$DY$60,B12,$DW$3:$DW$60)+SUMIF($DV$3:$DV$60,B12,$DX$3:$DX$60)</f>
        <v>0</v>
      </c>
      <c r="H12" s="75">
        <f t="shared" si="51"/>
        <v>1000</v>
      </c>
      <c r="I12" s="75">
        <f>SUMIF(Tournament!$H$13:$H$52,B12,Tournament!$O$13:$O$52)+SUMIF(Tournament!$N$13:$N$52,B12,Tournament!$Q$13:$Q$52)</f>
        <v>0</v>
      </c>
      <c r="J12" s="75">
        <f>SUMIF(Tournament!$N$13:$N$52,B12,Tournament!$O$13:$O$52)+SUMIF(Tournament!$H$13:$H$52,B12,Tournament!$Q$13:$Q$52)</f>
        <v>0</v>
      </c>
      <c r="K12" s="75">
        <f t="shared" si="52"/>
        <v>1000</v>
      </c>
      <c r="L12" s="75">
        <f t="shared" si="53"/>
        <v>0</v>
      </c>
      <c r="M12" s="75">
        <f>SUMIF(DV:DV,B12,EB:EB)+SUMIF(DY:DY,B12,EC:EC)</f>
        <v>4</v>
      </c>
      <c r="N12" s="75">
        <f>SUMIF(DV:DV,B12,ED:ED)+SUMIF(DY:DY,B12,EE:EE)</f>
        <v>0</v>
      </c>
      <c r="O12" s="75">
        <f t="shared" si="54"/>
        <v>4</v>
      </c>
      <c r="P12" s="75">
        <v>9</v>
      </c>
      <c r="Q12" s="75">
        <f t="shared" ref="Q12:Q15" si="63">RANK(O12,O$11:O$15)</f>
        <v>1</v>
      </c>
      <c r="S12" s="75">
        <f>RANK(O12,$O$11:$O$15)+COUNTIF($O$11:O12,O12)-1</f>
        <v>2</v>
      </c>
      <c r="T12" s="75" t="str">
        <f>INDEX($B$11:$B$15,MATCH(2,$S$11:$S$15,0),0)</f>
        <v>Samoa</v>
      </c>
      <c r="U12" s="75">
        <f t="shared" ref="U12:U15" si="64">INDEX($Q$11:$Q$15,MATCH(T12,$B$11:$B$15,0),0)</f>
        <v>1</v>
      </c>
      <c r="V12" s="75" t="str">
        <f>IF(V11&lt;&gt;"",T12,"")</f>
        <v>Samoa</v>
      </c>
      <c r="W12" s="75" t="str">
        <f>IF(W11&lt;&gt;"",T13,"")</f>
        <v/>
      </c>
      <c r="X12" s="75" t="str">
        <f>IF(X11&lt;&gt;"",T14,"")</f>
        <v/>
      </c>
      <c r="Y12" s="75" t="str">
        <f>IF(Y11&lt;&gt;"",T15,"")</f>
        <v/>
      </c>
      <c r="AA12" s="75" t="str">
        <f t="shared" ref="AA12:AA15" si="65">IF(V12&lt;&gt;"",V12,"")</f>
        <v>Samoa</v>
      </c>
      <c r="AB12" s="75">
        <f>SUMPRODUCT((DV3:DV42=AA12)*(DY3:DY42=AA13)*(EF3:EF42="W"))+SUMPRODUCT((DV3:DV42=AA12)*(DY3:DY42=AA14)*(EF3:EF42="W"))+SUMPRODUCT((DV3:DV42=AA12)*(DY3:DY42=AA15)*(EF3:EF42="W"))+SUMPRODUCT((DV3:DV42=AA12)*(DY3:DY42=AA11)*(EF3:EF42="W"))+SUMPRODUCT((DV3:DV42=AA13)*(DY3:DY42=AA12)*(EG3:EG42="W"))+SUMPRODUCT((DV3:DV42=AA14)*(DY3:DY42=AA12)*(EG3:EG42="W"))+SUMPRODUCT((DV3:DV42=AA15)*(DY3:DY42=AA12)*(EG3:EG42="W"))+SUMPRODUCT((DV3:DV42=AA11)*(DY3:DY42=AA12)*(EG3:EG42="W"))</f>
        <v>0</v>
      </c>
      <c r="AC12" s="75">
        <f>SUMPRODUCT((DV3:DV42=AA12)*(DY3:DY42=AA13)*(EF3:EF42="D"))+SUMPRODUCT((DV3:DV42=AA12)*(DY3:DY42=AA14)*(EF3:EF42="D"))+SUMPRODUCT((DV3:DV42=AA12)*(DY3:DY42=AA15)*(EF3:EF42="D"))+SUMPRODUCT((DV3:DV42=AA12)*(DY3:DY42=AA11)*(EF3:EF42="D"))+SUMPRODUCT((DV3:DV42=AA13)*(DY3:DY42=AA12)*(EF3:EF42="D"))+SUMPRODUCT((DV3:DV42=AA14)*(DY3:DY42=AA12)*(EF3:EF42="D"))+SUMPRODUCT((DV3:DV42=AA15)*(DY3:DY42=AA12)*(EF3:EF42="D"))+SUMPRODUCT((DV3:DV42=AA11)*(DY3:DY42=AA12)*(EF3:EF42="D"))</f>
        <v>0</v>
      </c>
      <c r="AD12" s="75">
        <f>SUMPRODUCT((DV3:DV42=AA12)*(DY3:DY42=AA13)*(EF3:EF42="L"))+SUMPRODUCT((DV3:DV42=AA12)*(DY3:DY42=AA14)*(EF3:EF42="L"))+SUMPRODUCT((DV3:DV42=AA12)*(DY3:DY42=AA15)*(EF3:EF42="L"))+SUMPRODUCT((DV3:DV42=AA12)*(DY3:DY42=AA11)*(EF3:EF42="L"))+SUMPRODUCT((DV3:DV42=AA13)*(DY3:DY42=AA12)*(EG3:EG42="L"))+SUMPRODUCT((DV3:DV42=AA14)*(DY3:DY42=AA12)*(EG3:EG42="L"))+SUMPRODUCT((DV3:DV42=AA15)*(DY3:DY42=AA12)*(EG3:EG42="L"))+SUMPRODUCT((DV3:DV42=AA11)*(DY3:DY42=AA12)*(EG3:EG42="L"))</f>
        <v>0</v>
      </c>
      <c r="AE12" s="75">
        <f>IF(AA12&lt;&gt;"",VLOOKUP(AA12,B4:F29,5,FALSE),0)</f>
        <v>0</v>
      </c>
      <c r="AF12" s="75">
        <f>IF(AA12&lt;&gt;"",VLOOKUP(AA12,B4:G29,6,FALSE),0)</f>
        <v>0</v>
      </c>
      <c r="AG12" s="75">
        <f>AE12-AF12+1000</f>
        <v>1000</v>
      </c>
      <c r="AH12" s="75">
        <f>IF(AA12&lt;&gt;"",VLOOKUP(AA12,B4:I29,8,FALSE),0)</f>
        <v>0</v>
      </c>
      <c r="AI12" s="75">
        <f>IF(AA12&lt;&gt;"",VLOOKUP(AA12,B4:J29,9,FALSE),0)</f>
        <v>0</v>
      </c>
      <c r="AJ12" s="75">
        <f t="shared" ref="AJ12" si="66">AH12-AI12+1000</f>
        <v>1000</v>
      </c>
      <c r="AK12" s="75">
        <f>IF(AA12&lt;&gt;"",VLOOKUP(AA12,B11:F15,5,FALSE),"")</f>
        <v>0</v>
      </c>
      <c r="AL12" s="75">
        <f>IF(AA12&lt;&gt;"",VLOOKUP(AA12,B11:I15,8,FALSE),"")</f>
        <v>0</v>
      </c>
      <c r="AM12" s="75">
        <f>IF(AA12&lt;&gt;"",VLOOKUP(AA12,B11:P15,15,FALSE),"")</f>
        <v>9</v>
      </c>
      <c r="AN12" s="75">
        <f>SUMPRODUCT((DV3:DV42=AA12)*(DY3:DY42=AA13)*EB3:EB42)+SUMPRODUCT((DV3:DV42=AA12)*(DY3:DY42=AA14)*EB3:EB42)+SUMPRODUCT((DV3:DV42=AA12)*(DY3:DY42=AA15)*EB3:EB42)+SUMPRODUCT((DV3:DV42=AA12)*(DY3:DY42=AA11)*EB3:EB42)+SUMPRODUCT((DV3:DV42=AA13)*(DY3:DY42=AA12)*EC3:EC42)+SUMPRODUCT((DV3:DV42=AA14)*(DY3:DY42=AA12)*EC3:EC42)+SUMPRODUCT((DV3:DV42=AA15)*(DY3:DY42=AA12)*EC3:EC42)+SUMPRODUCT((DV3:DV42=AA11)*(DY3:DY42=AA12)*EC3:EC42)</f>
        <v>4</v>
      </c>
      <c r="AO12" s="75">
        <f>SUMPRODUCT((DV3:DV42=AA12)*(DY3:DY42=AA13)*ED3:ED42)+SUMPRODUCT((DV3:DV42=AA12)*(DY3:DY42=AA14)*ED3:ED42)+SUMPRODUCT((DV3:DV42=AA12)*(DY3:DY42=AA15)*ED3:ED42)+SUMPRODUCT((DV3:DV42=AA12)*(DY3:DY42=AA11)*ED3:ED42)+SUMPRODUCT((DV3:DV42=AA13)*(DY3:DY42=AA12)*EE3:EE42)+SUMPRODUCT((DV3:DV42=AA14)*(DY3:DY42=AA12)*EE3:EE42)+SUMPRODUCT((DV3:DV42=AA15)*(DY3:DY42=AA12)*EE3:EE42)+SUMPRODUCT((DV3:DV42=AA11)*(DY3:DY42=AA12)*EE3:EE42)</f>
        <v>0</v>
      </c>
      <c r="AP12" s="75">
        <f t="shared" ref="AP12" si="67">AB12*4+AC12*2+AN12+AO12</f>
        <v>4</v>
      </c>
      <c r="AQ12" s="75">
        <f>IF(AA12&lt;&gt;"",RANK(AP12,AP11:AP15),"")</f>
        <v>1</v>
      </c>
      <c r="AR12" s="75">
        <f>SUMPRODUCT((AP11:AP15=AP12)*(AG11:AG15&gt;AG12))</f>
        <v>0</v>
      </c>
      <c r="AS12" s="75">
        <f>SUMPRODUCT((AP11:AP15=AP12)*(AG11:AG15=AG12)*(AJ11:AJ15&gt;AJ12))</f>
        <v>0</v>
      </c>
      <c r="AT12" s="75">
        <f>SUMPRODUCT((AP11:AP15=AP12)*(AG11:AG15=AG12)*(AJ11:AJ15=AJ12)*(AK11:AK15&gt;AK12))</f>
        <v>0</v>
      </c>
      <c r="AU12" s="75">
        <f>SUMPRODUCT((AP11:AP15=AP12)*(AG11:AG15=AG12)*(AJ11:AJ15=AJ12)*(AK11:AK15=AK12)*(AL11:AL15&gt;AL12))</f>
        <v>0</v>
      </c>
      <c r="AV12" s="75">
        <f>SUMPRODUCT((AP11:AP15=AP12)*(AG11:AG15=AG12)*(AJ11:AJ15=AJ12)*(AK11:AK15=AK12)*(AL11:AL15=AL12)*(AM11:AM15&gt;AM12))</f>
        <v>3</v>
      </c>
      <c r="AW12" s="75">
        <f t="shared" ref="AW12:AW15" si="68">IF(AA12&lt;&gt;"",SUM(AQ12:AV12),"")</f>
        <v>4</v>
      </c>
      <c r="AX12" s="75" t="str">
        <f>IF(AA12&lt;&gt;"",INDEX(AA11:AA15,MATCH(2,AW11:AW15,0),0),"")</f>
        <v>Japan</v>
      </c>
      <c r="AY12" s="75" t="str">
        <f>IF(W11&lt;&gt;"",W11,"")</f>
        <v/>
      </c>
      <c r="AZ12" s="75">
        <f>SUMPRODUCT((DV3:DV42=AY12)*(DY3:DY42=AY13)*(EF3:EF42="W"))+SUMPRODUCT((DV3:DV42=AY12)*(DY3:DY42=AY14)*(EF3:EF42="W"))+SUMPRODUCT((DV3:DV42=AY12)*(DY3:DY42=AY15)*(EF3:EF42="W"))+SUMPRODUCT((DV3:DV42=AY13)*(DY3:DY42=AY12)*(EG3:EG42="W"))+SUMPRODUCT((DV3:DV42=AY14)*(DY3:DY42=AY12)*(EG3:EG42="W"))+SUMPRODUCT((DV3:DV42=AY15)*(DY3:DY42=AY12)*(EG3:EG42="W"))</f>
        <v>0</v>
      </c>
      <c r="BA12" s="75">
        <f>SUMPRODUCT((DV3:DV42=AY12)*(DY3:DY42=AY13)*(EF3:EF42="D"))+SUMPRODUCT((DV3:DV42=AY12)*(DY3:DY42=AY14)*(EF3:EF42="D"))+SUMPRODUCT((DV3:DV42=AY12)*(DY3:DY42=AY15)*(EF3:EF42="D"))+SUMPRODUCT((DV3:DV42=AY13)*(DY3:DY42=AY12)*(EF3:EF42="D"))+SUMPRODUCT((DV3:DV42=AY14)*(DY3:DY42=AY12)*(EF3:EF42="D"))+SUMPRODUCT((DV3:DV42=AY15)*(DY3:DY42=AY12)*(EF3:EF42="D"))</f>
        <v>0</v>
      </c>
      <c r="BB12" s="75">
        <f>SUMPRODUCT((DV3:DV42=AY12)*(DY3:DY42=AY13)*(EF3:EF42="L"))+SUMPRODUCT((DV3:DV42=AY12)*(DY3:DY42=AY14)*(EF3:EF42="L"))+SUMPRODUCT((DV3:DV42=AY12)*(DY3:DY42=AY15)*(EF3:EF42="L"))+SUMPRODUCT((DV3:DV42=AY13)*(DY3:DY42=AY12)*(EG3:EG42="L"))+SUMPRODUCT((DV3:DV42=AY14)*(DY3:DY42=AY12)*(EG3:EG42="L"))+SUMPRODUCT((DV3:DV42=AY15)*(DY3:DY42=AY12)*(EG3:EG42="L"))</f>
        <v>0</v>
      </c>
      <c r="BC12" s="75">
        <f>IF(AY12&lt;&gt;"",VLOOKUP(AY12,B4:F29,5,FALSE),0)</f>
        <v>0</v>
      </c>
      <c r="BD12" s="75">
        <f>IF(AY12&lt;&gt;"",VLOOKUP(AY12,B4:G29,6,FALSE),0)</f>
        <v>0</v>
      </c>
      <c r="BE12" s="75">
        <f>BC12-BD12+1000</f>
        <v>1000</v>
      </c>
      <c r="BF12" s="75">
        <f>IF(AY12&lt;&gt;"",VLOOKUP(AY12,B4:I29,8,FALSE),0)</f>
        <v>0</v>
      </c>
      <c r="BG12" s="75">
        <f>IF(AY12&lt;&gt;"",VLOOKUP(AY12,B4:J29,9,FALSE),0)</f>
        <v>0</v>
      </c>
      <c r="BH12" s="75">
        <f>BF12-BG12+1000</f>
        <v>1000</v>
      </c>
      <c r="BI12" s="75" t="str">
        <f>IF(AY12&lt;&gt;"",VLOOKUP(AY12,B11:F15,5,FALSE),"")</f>
        <v/>
      </c>
      <c r="BJ12" s="75" t="str">
        <f>IF(AY12&lt;&gt;"",VLOOKUP(AY12,B11:I15,8,FALSE),"")</f>
        <v/>
      </c>
      <c r="BK12" s="75" t="str">
        <f>IF(AY12&lt;&gt;"",VLOOKUP(AY12,B11:P15,15,FALSE),"")</f>
        <v/>
      </c>
      <c r="BL12" s="75">
        <f>SUMPRODUCT((DV3:DV42=AY12)*(DY3:DY42=AY13)*EB3:EB42)+SUMPRODUCT((DV3:DV42=AY12)*(DY3:DY42=AY14)*EB3:EB42)+SUMPRODUCT((DV3:DV42=AY12)*(DY3:DY42=AY15)*EB3:EB42)+SUMPRODUCT((DV3:DV42=AY13)*(DY3:DY42=AY12)*EC3:EC42)+SUMPRODUCT((DV3:DV42=AY14)*(DY3:DY42=AY12)*EC3:EC42)+SUMPRODUCT((DV3:DV42=AY15)*(DY3:DY42=AY12)*EC3:EC42)</f>
        <v>0</v>
      </c>
      <c r="BM12" s="75">
        <f>SUMPRODUCT((DV3:DV42=AY12)*(DY3:DY42=AY13)*ED3:ED42)+SUMPRODUCT((DV3:DV42=AY12)*(DY3:DY42=AY14)*ED3:ED42)+SUMPRODUCT((DV3:DV42=AY12)*(DY3:DY42=AY15)*ED3:ED42)+SUMPRODUCT((DV3:DV42=AY13)*(DY3:DY42=AY12)*EE3:EE42)+SUMPRODUCT((DV3:DV42=AY14)*(DY3:DY42=AY12)*EE3:EE42)+SUMPRODUCT((DV3:DV42=AY15)*(DY3:DY42=AY12)*EE3:EE42)</f>
        <v>0</v>
      </c>
      <c r="BN12" s="75">
        <f>AZ12*4+BA12*2+BL12+BM12</f>
        <v>0</v>
      </c>
      <c r="BO12" s="75" t="str">
        <f>IF(AY12&lt;&gt;"",RANK(BN12,BN12:BN15),"")</f>
        <v/>
      </c>
      <c r="BP12" s="75">
        <f>SUMPRODUCT((BN12:BN15=BN12)*(BE12:BE15&gt;BE12))</f>
        <v>0</v>
      </c>
      <c r="BQ12" s="75">
        <f>SUMPRODUCT((BN12:BN15=BN12)*(BE12:BE15=BE12)*(BH12:BH15&gt;BH12))</f>
        <v>0</v>
      </c>
      <c r="BR12" s="75">
        <f>SUMPRODUCT((BN11:BN15=BN12)*(BE11:BE15=BE12)*(BH11:BH15=BH12)*(BI11:BI15&gt;BI12))</f>
        <v>0</v>
      </c>
      <c r="BS12" s="75">
        <f>SUMPRODUCT((BN11:BN15=BN12)*(BE11:BE15=BE12)*(BH11:BH15=BH12)*(BI11:BI15=BI12)*(BJ11:BJ15&gt;BJ12))</f>
        <v>0</v>
      </c>
      <c r="BT12" s="75">
        <f>SUMPRODUCT((BN11:BN15=BN12)*(BE11:BE15=BE12)*(BH11:BH15=BH12)*(BI11:BI15=BI12)*(BJ11:BJ15=BJ12)*(BK11:BK15&gt;BK12))</f>
        <v>0</v>
      </c>
      <c r="BU12" s="75" t="str">
        <f t="shared" ref="BU12:BU15" si="69">IF(AY12&lt;&gt;"",SUM(BO12:BT12)+1,"")</f>
        <v/>
      </c>
      <c r="BV12" s="75" t="str">
        <f>IF(AY12&lt;&gt;"",INDEX(AY12:AY15,MATCH(2,BU12:BU15,0),0),"")</f>
        <v/>
      </c>
      <c r="DS12" s="75" t="str">
        <f>IF(BV12&lt;&gt;"",BV12,IF(AX12&lt;&gt;"",AX12,T12))</f>
        <v>Japan</v>
      </c>
      <c r="DT12" s="75">
        <v>2</v>
      </c>
      <c r="DU12" s="75">
        <v>10</v>
      </c>
      <c r="DV12" s="75" t="str">
        <f>Tournament!H22</f>
        <v>Australia</v>
      </c>
      <c r="DW12" s="75">
        <f>IF(AND(Tournament!J22&lt;&gt;"",Tournament!L22&lt;&gt;""),Tournament!J22,0)</f>
        <v>0</v>
      </c>
      <c r="DX12" s="75">
        <f>IF(AND(Tournament!L22&lt;&gt;"",Tournament!J22&lt;&gt;""),Tournament!L22,0)</f>
        <v>0</v>
      </c>
      <c r="DY12" s="75" t="str">
        <f>Tournament!N22</f>
        <v>Fiji</v>
      </c>
      <c r="DZ12" s="75">
        <f>IF(Tournament!O22&lt;&gt;"",Tournament!O22,0)</f>
        <v>0</v>
      </c>
      <c r="EA12" s="75">
        <f>IF(Tournament!Q22&lt;&gt;"",Tournament!Q22,0)</f>
        <v>0</v>
      </c>
      <c r="EB12" s="75">
        <f>IF(DW12&lt;&gt;"",IF(Tournament!O22&gt;3,1,0),0)</f>
        <v>1</v>
      </c>
      <c r="EC12" s="75">
        <f>IF(DX12&lt;&gt;"",IF(Tournament!Q22&gt;3,1,0),0)</f>
        <v>1</v>
      </c>
      <c r="ED12" s="75">
        <f t="shared" si="1"/>
        <v>0</v>
      </c>
      <c r="EE12" s="75">
        <f t="shared" si="2"/>
        <v>0</v>
      </c>
      <c r="EF12" s="75" t="str">
        <f>IF(AND(Tournament!J22&lt;&gt;"",Tournament!L22&lt;&gt;""),IF(DW12&gt;DX12,"W",IF(DW12=DX12,"D","L")),"")</f>
        <v/>
      </c>
      <c r="EG12" s="75" t="str">
        <f t="shared" si="3"/>
        <v/>
      </c>
      <c r="EH12" s="75">
        <f ca="1">VLOOKUP(EI12,IZ11:JA15,2,FALSE)</f>
        <v>4</v>
      </c>
      <c r="EI12" s="75" t="s">
        <v>42</v>
      </c>
      <c r="EJ12" s="75">
        <f t="shared" ca="1" si="55"/>
        <v>0</v>
      </c>
      <c r="EK12" s="75">
        <f t="shared" ca="1" si="56"/>
        <v>0</v>
      </c>
      <c r="EL12" s="75">
        <f t="shared" ca="1" si="57"/>
        <v>0</v>
      </c>
      <c r="EM12" s="75">
        <f t="shared" ca="1" si="58"/>
        <v>0</v>
      </c>
      <c r="EN12" s="75">
        <f t="shared" ref="EN12:EN15" ca="1" si="70">SUMIF(JF$3:JF$60,EI12,JD$3:JD$60)+SUMIF(JC$3:JC$60,EI12,JE$3:JE$60)</f>
        <v>0</v>
      </c>
      <c r="EO12" s="75">
        <f t="shared" ca="1" si="59"/>
        <v>1000</v>
      </c>
      <c r="EP12" s="75">
        <f t="shared" ref="EP12:EP15" ca="1" si="71">SUMIF(JC:JC,EI12,JG:JG)+SUMIF(JF:JF,EI12,JH:JH)</f>
        <v>0</v>
      </c>
      <c r="EQ12" s="75">
        <f t="shared" ref="EQ12:EQ15" ca="1" si="72">SUMIF(JF:JF,EI12,JG:JG)+SUMIF(JC:JC,EI12,JH:JH)</f>
        <v>0</v>
      </c>
      <c r="ER12" s="75">
        <f t="shared" ca="1" si="60"/>
        <v>1000</v>
      </c>
      <c r="ES12" s="75">
        <f t="shared" ca="1" si="61"/>
        <v>0</v>
      </c>
      <c r="ET12" s="75">
        <f ca="1">SUMIF(JC:JC,EI12,JI:JI)+SUMIF(JF:JF,EI12,JJ:JJ)</f>
        <v>0</v>
      </c>
      <c r="EU12" s="75">
        <f ca="1">SUMIF(JC:JC,EI12,JK:JK)+SUMIF(JF:JF,EI12,JL:JL)</f>
        <v>0</v>
      </c>
      <c r="EV12" s="75">
        <f t="shared" ca="1" si="62"/>
        <v>0</v>
      </c>
      <c r="EW12" s="75">
        <v>9</v>
      </c>
      <c r="EX12" s="75">
        <f t="shared" ref="EX12:EX15" ca="1" si="73">RANK(EV12,EV$11:EV$15)</f>
        <v>1</v>
      </c>
      <c r="EZ12" s="75">
        <f ca="1">RANK(EV12,EV$11:EV$15)+COUNTIF(EV$11:EV12,EV12)-1</f>
        <v>2</v>
      </c>
      <c r="FA12" s="75" t="str">
        <f ca="1">INDEX(EI$11:EI$15,MATCH(2,EZ$11:EZ$15,0),0)</f>
        <v>Samoa</v>
      </c>
      <c r="FB12" s="75">
        <f t="shared" ref="FB12:FB15" ca="1" si="74">INDEX(EX$11:EX$15,MATCH(FA12,EI$11:EI$15,0),0)</f>
        <v>1</v>
      </c>
      <c r="FC12" s="75" t="str">
        <f ca="1">IF(FC11&lt;&gt;"",FA12,"")</f>
        <v>Samoa</v>
      </c>
      <c r="FD12" s="75" t="str">
        <f ca="1">IF(FD11&lt;&gt;"",FA13,"")</f>
        <v/>
      </c>
      <c r="FE12" s="75" t="str">
        <f ca="1">IF(FE11&lt;&gt;"",FA14,"")</f>
        <v/>
      </c>
      <c r="FF12" s="75" t="str">
        <f ca="1">IF(FF11&lt;&gt;"",FA15,"")</f>
        <v/>
      </c>
      <c r="FH12" s="75" t="str">
        <f t="shared" ref="FH12:FH15" ca="1" si="75">IF(FC12&lt;&gt;"",FC12,"")</f>
        <v>Samoa</v>
      </c>
      <c r="FI12" s="75">
        <f ca="1">SUMPRODUCT((JC3:JC42=FH12)*(JF3:JF42=FH13)*(JM3:JM42="W"))+SUMPRODUCT((JC3:JC42=FH12)*(JF3:JF42=FH14)*(JM3:JM42="W"))+SUMPRODUCT((JC3:JC42=FH12)*(JF3:JF42=FH15)*(JM3:JM42="W"))+SUMPRODUCT((JC3:JC42=FH12)*(JF3:JF42=FH11)*(JM3:JM42="W"))+SUMPRODUCT((JC3:JC42=FH13)*(JF3:JF42=FH12)*(JN3:JN42="W"))+SUMPRODUCT((JC3:JC42=FH14)*(JF3:JF42=FH12)*(JN3:JN42="W"))+SUMPRODUCT((JC3:JC42=FH15)*(JF3:JF42=FH12)*(JN3:JN42="W"))+SUMPRODUCT((JC3:JC42=FH11)*(JF3:JF42=FH12)*(JN3:JN42="W"))</f>
        <v>0</v>
      </c>
      <c r="FJ12" s="75">
        <f ca="1">SUMPRODUCT((JC3:JC42=FH12)*(JF3:JF42=FH13)*(JM3:JM42="D"))+SUMPRODUCT((JC3:JC42=FH12)*(JF3:JF42=FH14)*(JM3:JM42="D"))+SUMPRODUCT((JC3:JC42=FH12)*(JF3:JF42=FH15)*(JM3:JM42="D"))+SUMPRODUCT((JC3:JC42=FH12)*(JF3:JF42=FH11)*(JM3:JM42="D"))+SUMPRODUCT((JC3:JC42=FH13)*(JF3:JF42=FH12)*(JM3:JM42="D"))+SUMPRODUCT((JC3:JC42=FH14)*(JF3:JF42=FH12)*(JM3:JM42="D"))+SUMPRODUCT((JC3:JC42=FH15)*(JF3:JF42=FH12)*(JM3:JM42="D"))+SUMPRODUCT((JC3:JC42=FH11)*(JF3:JF42=FH12)*(JM3:JM42="D"))</f>
        <v>0</v>
      </c>
      <c r="FK12" s="75">
        <f ca="1">SUMPRODUCT((JC3:JC42=FH12)*(JF3:JF42=FH13)*(JM3:JM42="L"))+SUMPRODUCT((JC3:JC42=FH12)*(JF3:JF42=FH14)*(JM3:JM42="L"))+SUMPRODUCT((JC3:JC42=FH12)*(JF3:JF42=FH15)*(JM3:JM42="L"))+SUMPRODUCT((JC3:JC42=FH12)*(JF3:JF42=FH11)*(JM3:JM42="L"))+SUMPRODUCT((JC3:JC42=FH13)*(JF3:JF42=FH12)*(JN3:JN42="L"))+SUMPRODUCT((JC3:JC42=FH14)*(JF3:JF42=FH12)*(JN3:JN42="L"))+SUMPRODUCT((JC3:JC42=FH15)*(JF3:JF42=FH12)*(JN3:JN42="L"))+SUMPRODUCT((JC3:JC42=FH11)*(JF3:JF42=FH12)*(JN3:JN42="L"))</f>
        <v>0</v>
      </c>
      <c r="FL12" s="75">
        <f ca="1">IF(FH12&lt;&gt;"",VLOOKUP(FH12,EI4:EM29,5,FALSE),0)</f>
        <v>0</v>
      </c>
      <c r="FM12" s="75">
        <f ca="1">IF(FH12&lt;&gt;"",VLOOKUP(FH12,EI4:EN29,6,FALSE),0)</f>
        <v>0</v>
      </c>
      <c r="FN12" s="75">
        <f ca="1">FL12-FM12+1000</f>
        <v>1000</v>
      </c>
      <c r="FO12" s="75">
        <f ca="1">IF(FH12&lt;&gt;"",VLOOKUP(FH12,EI4:EP29,8,FALSE),0)</f>
        <v>0</v>
      </c>
      <c r="FP12" s="75">
        <f ca="1">IF(FH12&lt;&gt;"",VLOOKUP(FH12,EI4:EQ29,9,FALSE),0)</f>
        <v>0</v>
      </c>
      <c r="FQ12" s="75">
        <f t="shared" ref="FQ12" ca="1" si="76">FO12-FP12+1000</f>
        <v>1000</v>
      </c>
      <c r="FR12" s="75">
        <f ca="1">IF(FH12&lt;&gt;"",VLOOKUP(FH12,EI11:EM15,5,FALSE),"")</f>
        <v>0</v>
      </c>
      <c r="FS12" s="75">
        <f ca="1">IF(FH12&lt;&gt;"",VLOOKUP(FH12,EI11:EP15,8,FALSE),"")</f>
        <v>0</v>
      </c>
      <c r="FT12" s="75">
        <f ca="1">IF(FH12&lt;&gt;"",VLOOKUP(FH12,EI11:EW15,15,FALSE),"")</f>
        <v>9</v>
      </c>
      <c r="FU12" s="75">
        <f ca="1">SUMPRODUCT((JC3:JC42=FH12)*(JF3:JF42=FH13)*JI3:JI42)+SUMPRODUCT((JC3:JC42=FH12)*(JF3:JF42=FH14)*JI3:JI42)+SUMPRODUCT((JC3:JC42=FH12)*(JF3:JF42=FH15)*JI3:JI42)+SUMPRODUCT((JC3:JC42=FH12)*(JF3:JF42=FH11)*JI3:JI42)+SUMPRODUCT((JC3:JC42=FH13)*(JF3:JF42=FH12)*JJ3:JJ42)+SUMPRODUCT((JC3:JC42=FH14)*(JF3:JF42=FH12)*JJ3:JJ42)+SUMPRODUCT((JC3:JC42=FH15)*(JF3:JF42=FH12)*JJ3:JJ42)+SUMPRODUCT((JC3:JC42=FH11)*(JF3:JF42=FH12)*JJ3:JJ42)</f>
        <v>0</v>
      </c>
      <c r="FV12" s="75">
        <f ca="1">SUMPRODUCT((JC3:JC42=FH12)*(JF3:JF42=FH13)*JK3:JK42)+SUMPRODUCT((JC3:JC42=FH12)*(JF3:JF42=FH14)*JK3:JK42)+SUMPRODUCT((JC3:JC42=FH12)*(JF3:JF42=FH15)*JK3:JK42)+SUMPRODUCT((JC3:JC42=FH12)*(JF3:JF42=FH11)*JK3:JK42)+SUMPRODUCT((JC3:JC42=FH13)*(JF3:JF42=FH12)*JL3:JL42)+SUMPRODUCT((JC3:JC42=FH14)*(JF3:JF42=FH12)*JL3:JL42)+SUMPRODUCT((JC3:JC42=FH15)*(JF3:JF42=FH12)*JL3:JL42)+SUMPRODUCT((JC3:JC42=FH11)*(JF3:JF42=FH12)*JL3:JL42)</f>
        <v>0</v>
      </c>
      <c r="FW12" s="75">
        <f t="shared" ref="FW12" ca="1" si="77">FI12*4+FJ12*2+FU12+FV12</f>
        <v>0</v>
      </c>
      <c r="FX12" s="75">
        <f ca="1">IF(FH12&lt;&gt;"",RANK(FW12,FW11:FW15),"")</f>
        <v>1</v>
      </c>
      <c r="FY12" s="75">
        <f ca="1">SUMPRODUCT((FW11:FW15=FW12)*(FN11:FN15&gt;FN12))</f>
        <v>0</v>
      </c>
      <c r="FZ12" s="75">
        <f ca="1">SUMPRODUCT((FW11:FW15=FW12)*(FN11:FN15=FN12)*(FQ11:FQ15&gt;FQ12))</f>
        <v>0</v>
      </c>
      <c r="GA12" s="75">
        <f ca="1">SUMPRODUCT((FW11:FW15=FW12)*(FN11:FN15=FN12)*(FQ11:FQ15=FQ12)*(FR11:FR15&gt;FR12))</f>
        <v>0</v>
      </c>
      <c r="GB12" s="75">
        <f ca="1">SUMPRODUCT((FW11:FW15=FW12)*(FN11:FN15=FN12)*(FQ11:FQ15=FQ12)*(FR11:FR15=FR12)*(FS11:FS15&gt;FS12))</f>
        <v>0</v>
      </c>
      <c r="GC12" s="75">
        <f ca="1">SUMPRODUCT((FW11:FW15=FW12)*(FN11:FN15=FN12)*(FQ11:FQ15=FQ12)*(FR11:FR15=FR12)*(FS11:FS15=FS12)*(FT11:FT15&gt;FT12))</f>
        <v>3</v>
      </c>
      <c r="GD12" s="75">
        <f t="shared" ref="GD12:GD15" ca="1" si="78">IF(FH12&lt;&gt;"",SUM(FX12:GC12),"")</f>
        <v>4</v>
      </c>
      <c r="GE12" s="75" t="str">
        <f ca="1">IF(FH12&lt;&gt;"",INDEX(FH11:FH15,MATCH(2,GD11:GD15,0),0),"")</f>
        <v>Japan</v>
      </c>
      <c r="GF12" s="75" t="str">
        <f ca="1">IF(FD11&lt;&gt;"",FD11,"")</f>
        <v/>
      </c>
      <c r="GG12" s="75">
        <f ca="1">SUMPRODUCT((JC3:JC42=GF12)*(JF3:JF42=GF13)*(JM3:JM42="W"))+SUMPRODUCT((JC3:JC42=GF12)*(JF3:JF42=GF14)*(JM3:JM42="W"))+SUMPRODUCT((JC3:JC42=GF12)*(JF3:JF42=GF15)*(JM3:JM42="W"))+SUMPRODUCT((JC3:JC42=GF13)*(JF3:JF42=GF12)*(JN3:JN42="W"))+SUMPRODUCT((JC3:JC42=GF14)*(JF3:JF42=GF12)*(JN3:JN42="W"))+SUMPRODUCT((JC3:JC42=GF15)*(JF3:JF42=GF12)*(JN3:JN42="W"))</f>
        <v>0</v>
      </c>
      <c r="GH12" s="75">
        <f ca="1">SUMPRODUCT((JC3:JC42=GF12)*(JF3:JF42=GF13)*(JM3:JM42="D"))+SUMPRODUCT((JC3:JC42=GF12)*(JF3:JF42=GF14)*(JM3:JM42="D"))+SUMPRODUCT((JC3:JC42=GF12)*(JF3:JF42=GF15)*(JM3:JM42="D"))+SUMPRODUCT((JC3:JC42=GF13)*(JF3:JF42=GF12)*(JM3:JM42="D"))+SUMPRODUCT((JC3:JC42=GF14)*(JF3:JF42=GF12)*(JM3:JM42="D"))+SUMPRODUCT((JC3:JC42=GF15)*(JF3:JF42=GF12)*(JM3:JM42="D"))</f>
        <v>0</v>
      </c>
      <c r="GI12" s="75">
        <f ca="1">SUMPRODUCT((JC3:JC42=GF12)*(JF3:JF42=GF13)*(JM3:JM42="L"))+SUMPRODUCT((JC3:JC42=GF12)*(JF3:JF42=GF14)*(JM3:JM42="L"))+SUMPRODUCT((JC3:JC42=GF12)*(JF3:JF42=GF15)*(JM3:JM42="L"))+SUMPRODUCT((JC3:JC42=GF13)*(JF3:JF42=GF12)*(JN3:JN42="L"))+SUMPRODUCT((JC3:JC42=GF14)*(JF3:JF42=GF12)*(JN3:JN42="L"))+SUMPRODUCT((JC3:JC42=GF15)*(JF3:JF42=GF12)*(JN3:JN42="L"))</f>
        <v>0</v>
      </c>
      <c r="GJ12" s="75">
        <f ca="1">IF(GF12&lt;&gt;"",VLOOKUP(GF12,EI4:EM29,5,FALSE),0)</f>
        <v>0</v>
      </c>
      <c r="GK12" s="75">
        <f ca="1">IF(GF12&lt;&gt;"",VLOOKUP(GF12,EI4:EN29,6,FALSE),0)</f>
        <v>0</v>
      </c>
      <c r="GL12" s="75">
        <f ca="1">GJ12-GK12+1000</f>
        <v>1000</v>
      </c>
      <c r="GM12" s="75">
        <f ca="1">IF(GF12&lt;&gt;"",VLOOKUP(GF12,EI4:EP29,8,FALSE),0)</f>
        <v>0</v>
      </c>
      <c r="GN12" s="75">
        <f ca="1">IF(GF12&lt;&gt;"",VLOOKUP(GF12,EI4:EQ29,9,FALSE),0)</f>
        <v>0</v>
      </c>
      <c r="GO12" s="75">
        <f ca="1">GM12-GN12+1000</f>
        <v>1000</v>
      </c>
      <c r="GP12" s="75" t="str">
        <f ca="1">IF(GF12&lt;&gt;"",VLOOKUP(GF12,EI11:EM15,5,FALSE),"")</f>
        <v/>
      </c>
      <c r="GQ12" s="75" t="str">
        <f ca="1">IF(GF12&lt;&gt;"",VLOOKUP(GF12,EI11:EP15,8,FALSE),"")</f>
        <v/>
      </c>
      <c r="GR12" s="75" t="str">
        <f ca="1">IF(GF12&lt;&gt;"",VLOOKUP(GF12,EI11:EW15,15,FALSE),"")</f>
        <v/>
      </c>
      <c r="GS12" s="75">
        <f ca="1">SUMPRODUCT((JC3:JC42=GF12)*(JF3:JF42=GF13)*JI3:JI42)+SUMPRODUCT((JC3:JC42=GF12)*(JF3:JF42=GF14)*JI3:JI42)+SUMPRODUCT((JC3:JC42=GF12)*(JF3:JF42=GF15)*JI3:JI42)+SUMPRODUCT((JC3:JC42=GF13)*(JF3:JF42=GF12)*JJ3:JJ42)+SUMPRODUCT((JC3:JC42=GF14)*(JF3:JF42=GF12)*JJ3:JJ42)+SUMPRODUCT((JC3:JC42=GF15)*(JF3:JF42=GF12)*JJ3:JJ42)</f>
        <v>0</v>
      </c>
      <c r="GT12" s="75">
        <f ca="1">SUMPRODUCT((JC3:JC42=GF12)*(JF3:JF42=GF13)*JK3:JK42)+SUMPRODUCT((JC3:JC42=GF12)*(JF3:JF42=GF14)*JK3:JK42)+SUMPRODUCT((JC3:JC42=GF12)*(JF3:JF42=GF15)*JK3:JK42)+SUMPRODUCT((JC3:JC42=GF13)*(JF3:JF42=GF12)*JL3:JL42)+SUMPRODUCT((JC3:JC42=GF14)*(JF3:JF42=GF12)*JL3:JL42)+SUMPRODUCT((JC3:JC42=GF15)*(JF3:JF42=GF12)*JL3:JL42)</f>
        <v>0</v>
      </c>
      <c r="GU12" s="75">
        <f ca="1">GG12*4+GH12*2+GS12+GT12</f>
        <v>0</v>
      </c>
      <c r="GV12" s="75" t="str">
        <f ca="1">IF(GF12&lt;&gt;"",RANK(GU12,GU12:GU15),"")</f>
        <v/>
      </c>
      <c r="GW12" s="75">
        <f ca="1">SUMPRODUCT((GU12:GU15=GU12)*(GL12:GL15&gt;GL12))</f>
        <v>0</v>
      </c>
      <c r="GX12" s="75">
        <f ca="1">SUMPRODUCT((GU12:GU15=GU12)*(GL12:GL15=GL12)*(GO12:GO15&gt;GO12))</f>
        <v>0</v>
      </c>
      <c r="GY12" s="75">
        <f ca="1">SUMPRODUCT((GU11:GU15=GU12)*(GL11:GL15=GL12)*(GO11:GO15=GO12)*(GP11:GP15&gt;GP12))</f>
        <v>0</v>
      </c>
      <c r="GZ12" s="75">
        <f ca="1">SUMPRODUCT((GU11:GU15=GU12)*(GL11:GL15=GL12)*(GO11:GO15=GO12)*(GP11:GP15=GP12)*(GQ11:GQ15&gt;GQ12))</f>
        <v>0</v>
      </c>
      <c r="HA12" s="75">
        <f ca="1">SUMPRODUCT((GU11:GU15=GU12)*(GL11:GL15=GL12)*(GO11:GO15=GO12)*(GP11:GP15=GP12)*(GQ11:GQ15=GQ12)*(GR11:GR15&gt;GR12))</f>
        <v>0</v>
      </c>
      <c r="HB12" s="75" t="str">
        <f t="shared" ref="HB12:HB15" ca="1" si="79">IF(GF12&lt;&gt;"",SUM(GV12:HA12)+1,"")</f>
        <v/>
      </c>
      <c r="HC12" s="75" t="str">
        <f ca="1">IF(GF12&lt;&gt;"",INDEX(GF12:GF15,MATCH(2,HB12:HB15,0),0),"")</f>
        <v/>
      </c>
      <c r="IZ12" s="75" t="str">
        <f ca="1">IF(HC12&lt;&gt;"",HC12,IF(GE12&lt;&gt;"",GE12,FA12))</f>
        <v>Japan</v>
      </c>
      <c r="JA12" s="75">
        <v>2</v>
      </c>
      <c r="JB12" s="75">
        <v>10</v>
      </c>
      <c r="JC12" s="75" t="str">
        <f t="shared" si="4"/>
        <v>Australia</v>
      </c>
      <c r="JD12" s="75" t="str">
        <f ca="1">IF(OFFSET('Prediction Sheet'!$W22,0,JD$1)&lt;&gt;"",OFFSET('Prediction Sheet'!$W22,0,JD$1),"")</f>
        <v/>
      </c>
      <c r="JE12" s="75" t="str">
        <f ca="1">IF(OFFSET('Prediction Sheet'!$Y22,0,JD$1)&lt;&gt;"",OFFSET('Prediction Sheet'!$Y22,0,JD$1),"")</f>
        <v/>
      </c>
      <c r="JF12" s="75" t="str">
        <f t="shared" si="5"/>
        <v>Fiji</v>
      </c>
      <c r="JG12" s="75" t="str">
        <f ca="1">IF(OFFSET('Prediction Sheet'!$AA22,0,JF$1)&lt;&gt;"",OFFSET('Prediction Sheet'!$AA22,0,JF$1),"")</f>
        <v/>
      </c>
      <c r="JH12" s="75" t="str">
        <f ca="1">IF(OFFSET('Prediction Sheet'!$AC22,0,JG$1)&lt;&gt;"",OFFSET('Prediction Sheet'!$AC22,0,JG$1),"")</f>
        <v/>
      </c>
      <c r="JI12" s="75">
        <f t="shared" ca="1" si="6"/>
        <v>0</v>
      </c>
      <c r="JJ12" s="75">
        <f t="shared" ca="1" si="7"/>
        <v>0</v>
      </c>
      <c r="JK12" s="75">
        <f t="shared" ca="1" si="8"/>
        <v>0</v>
      </c>
      <c r="JL12" s="75">
        <f t="shared" ca="1" si="9"/>
        <v>0</v>
      </c>
      <c r="JM12" s="75" t="str">
        <f t="shared" ca="1" si="10"/>
        <v/>
      </c>
      <c r="JN12" s="75" t="str">
        <f t="shared" ca="1" si="11"/>
        <v/>
      </c>
    </row>
    <row r="13" spans="1:274" x14ac:dyDescent="0.2">
      <c r="A13" s="75">
        <f>VLOOKUP(B13,DS11:DT15,2,FALSE)</f>
        <v>2</v>
      </c>
      <c r="B13" s="75" t="s">
        <v>7</v>
      </c>
      <c r="C13" s="75">
        <f t="shared" si="48"/>
        <v>0</v>
      </c>
      <c r="D13" s="75">
        <f t="shared" si="49"/>
        <v>0</v>
      </c>
      <c r="E13" s="75">
        <f t="shared" si="50"/>
        <v>0</v>
      </c>
      <c r="F13" s="75">
        <f>SUMIF($DV$3:$DV$60,B13,$DW$3:$DW$60)+SUMIF($DY$3:$DY$60,B13,$DX$3:$DX$60)</f>
        <v>0</v>
      </c>
      <c r="G13" s="75">
        <f>SUMIF($DY$3:$DY$60,B13,$DW$3:$DW$60)+SUMIF($DV$3:$DV$60,B13,$DX$3:$DX$60)</f>
        <v>0</v>
      </c>
      <c r="H13" s="75">
        <f t="shared" si="51"/>
        <v>1000</v>
      </c>
      <c r="I13" s="75">
        <f>SUMIF(Tournament!$H$13:$H$52,B13,Tournament!$O$13:$O$52)+SUMIF(Tournament!$N$13:$N$52,B13,Tournament!$Q$13:$Q$52)</f>
        <v>0</v>
      </c>
      <c r="J13" s="75">
        <f>SUMIF(Tournament!$N$13:$N$52,B13,Tournament!$O$13:$O$52)+SUMIF(Tournament!$H$13:$H$52,B13,Tournament!$Q$13:$Q$52)</f>
        <v>0</v>
      </c>
      <c r="K13" s="75">
        <f t="shared" si="52"/>
        <v>1000</v>
      </c>
      <c r="L13" s="75">
        <f t="shared" si="53"/>
        <v>0</v>
      </c>
      <c r="M13" s="75">
        <f>SUMIF(DV:DV,B13,EB:EB)+SUMIF(DY:DY,B13,EC:EC)</f>
        <v>4</v>
      </c>
      <c r="N13" s="75">
        <f>SUMIF(DV:DV,B13,ED:ED)+SUMIF(DY:DY,B13,EE:EE)</f>
        <v>0</v>
      </c>
      <c r="O13" s="75">
        <f t="shared" si="54"/>
        <v>4</v>
      </c>
      <c r="P13" s="75">
        <v>14</v>
      </c>
      <c r="Q13" s="75">
        <f t="shared" si="63"/>
        <v>1</v>
      </c>
      <c r="S13" s="75">
        <f>RANK(O13,$O$11:$O$15)+COUNTIF($O$11:O13,O13)-1</f>
        <v>3</v>
      </c>
      <c r="T13" s="75" t="str">
        <f>INDEX($B$11:$B$15,MATCH(3,$S$11:$S$15,0),0)</f>
        <v>Japan</v>
      </c>
      <c r="U13" s="75">
        <f t="shared" si="64"/>
        <v>1</v>
      </c>
      <c r="V13" s="75" t="str">
        <f>IF(AND(V12&lt;&gt;"",U13=1),T13,"")</f>
        <v>Japan</v>
      </c>
      <c r="W13" s="75" t="str">
        <f>IF(AND(W12&lt;&gt;"",U14=2),T14,"")</f>
        <v/>
      </c>
      <c r="X13" s="75" t="str">
        <f>IF(AND(X12&lt;&gt;"",U15=3),T15,"")</f>
        <v/>
      </c>
      <c r="AA13" s="75" t="str">
        <f t="shared" si="65"/>
        <v>Japan</v>
      </c>
      <c r="AB13" s="75">
        <f>SUMPRODUCT((DV3:DV42=AA13)*(DY3:DY42=AA14)*(EF3:EF42="W"))+SUMPRODUCT((DV3:DV42=AA13)*(DY3:DY42=AA15)*(EF3:EF42="W"))+SUMPRODUCT((DV3:DV42=AA13)*(DY3:DY42=AA11)*(EF3:EF42="W"))+SUMPRODUCT((DV3:DV42=AA13)*(DY3:DY42=AA12)*(EF3:EF42="W"))+SUMPRODUCT((DV3:DV42=AA14)*(DY3:DY42=AA13)*(EG3:EG42="W"))+SUMPRODUCT((DV3:DV42=AA15)*(DY3:DY42=AA13)*(EG3:EG42="W"))+SUMPRODUCT((DV3:DV42=AA11)*(DY3:DY42=AA13)*(EG3:EG42="W"))+SUMPRODUCT((DV3:DV42=AA12)*(DY3:DY42=AA13)*(EG3:EG42="W"))</f>
        <v>0</v>
      </c>
      <c r="AC13" s="75">
        <f>SUMPRODUCT((DV3:DV42=AA13)*(DY3:DY42=AA14)*(EF3:EF42="D"))+SUMPRODUCT((DV3:DV42=AA13)*(DY3:DY42=AA15)*(EF3:EF42="D"))+SUMPRODUCT((DV3:DV42=AA13)*(DY3:DY42=AA11)*(EF3:EF42="D"))+SUMPRODUCT((DV3:DV42=AA13)*(DY3:DY42=AA12)*(EF3:EF42="D"))+SUMPRODUCT((DV3:DV42=AA14)*(DY3:DY42=AA13)*(EF3:EF42="D"))+SUMPRODUCT((DV3:DV42=AA15)*(DY3:DY42=AA13)*(EF3:EF42="D"))+SUMPRODUCT((DV3:DV42=AA11)*(DY3:DY42=AA13)*(EF3:EF42="D"))+SUMPRODUCT((DV3:DV42=AA12)*(DY3:DY42=AA13)*(EF3:EF42="D"))</f>
        <v>0</v>
      </c>
      <c r="AD13" s="75">
        <f>SUMPRODUCT((DV3:DV42=AA13)*(DY3:DY42=AA14)*(EF3:EF42="L"))+SUMPRODUCT((DV3:DV42=AA13)*(DY3:DY42=AA15)*(EF3:EF42="L"))+SUMPRODUCT((DV3:DV42=AA13)*(DY3:DY42=AA11)*(EF3:EF42="L"))+SUMPRODUCT((DV3:DV42=AA13)*(DY3:DY42=AA12)*(EF3:EF42="L"))+SUMPRODUCT((DV3:DV42=AA14)*(DY3:DY42=AA13)*(EG3:EG42="L"))+SUMPRODUCT((DV3:DV42=AA15)*(DY3:DY42=AA13)*(EG3:EG42="L"))+SUMPRODUCT((DV3:DV42=AA11)*(DY3:DY42=AA13)*(EG3:EG42="L"))+SUMPRODUCT((DV3:DV42=AA12)*(DY3:DY42=AA13)*(EG3:EG42="L"))</f>
        <v>0</v>
      </c>
      <c r="AE13" s="75">
        <f>IF(AA13&lt;&gt;"",VLOOKUP(AA13,B4:F29,5,FALSE),0)</f>
        <v>0</v>
      </c>
      <c r="AF13" s="75">
        <f>IF(AA13&lt;&gt;"",VLOOKUP(AA13,B4:G29,6,FALSE),0)</f>
        <v>0</v>
      </c>
      <c r="AG13" s="75">
        <f>AE13-AF13+1000</f>
        <v>1000</v>
      </c>
      <c r="AH13" s="75">
        <f>IF(AA13&lt;&gt;"",VLOOKUP(AA13,B4:I29,8,FALSE),0)</f>
        <v>0</v>
      </c>
      <c r="AI13" s="75">
        <f>IF(AA13&lt;&gt;"",VLOOKUP(AA13,B4:J29,9,FALSE),0)</f>
        <v>0</v>
      </c>
      <c r="AJ13" s="75">
        <f>IF(AA13&lt;&gt;"",AH13-AI13+1000,"")</f>
        <v>1000</v>
      </c>
      <c r="AK13" s="75">
        <f>IF(AA13&lt;&gt;"",VLOOKUP(AA13,B11:F15,5,FALSE),"")</f>
        <v>0</v>
      </c>
      <c r="AL13" s="75">
        <f>IF(AA13&lt;&gt;"",VLOOKUP(AA13,B11:I15,8,FALSE),"")</f>
        <v>0</v>
      </c>
      <c r="AM13" s="75">
        <f>IF(AA13&lt;&gt;"",VLOOKUP(AA13,B11:P15,15,FALSE),"")</f>
        <v>14</v>
      </c>
      <c r="AN13" s="75">
        <f>SUMPRODUCT((DV3:DV42=AA13)*(DY3:DY42=AA14)*EB3:EB42)+SUMPRODUCT((DV3:DV42=AA13)*(DY3:DY42=AA15)*EB3:EB42)+SUMPRODUCT((DV3:DV42=AA13)*(DY3:DY42=AA11)*EB3:EB42)+SUMPRODUCT((DV3:DV42=AA13)*(DY3:DY42=AA12)*EB3:EB42)+SUMPRODUCT((DV3:DV42=AA14)*(DY3:DY42=AA13)*EC3:EC42)+SUMPRODUCT((DV3:DV42=AA15)*(DY3:DY42=AA13)*EC3:EC42)+SUMPRODUCT((DV3:DV42=AA11)*(DY3:DY42=AA13)*EC3:EC42)+SUMPRODUCT((DV3:DV42=AA12)*(DY3:DY42=AA13)*EC3:EC42)</f>
        <v>4</v>
      </c>
      <c r="AO13" s="75">
        <f>SUMPRODUCT((DV3:DV42=AA13)*(DY3:DY42=AA14)*ED3:ED42)+SUMPRODUCT((DV3:DV42=AA13)*(DY3:DY42=AA15)*ED3:ED42)+SUMPRODUCT((DV3:DV42=AA13)*(DY3:DY42=AA11)*ED3:ED42)+SUMPRODUCT((DV3:DV42=AA13)*(DY3:DY42=AA12)*ED3:ED42)+SUMPRODUCT((DV3:DV42=AA14)*(DY3:DY42=AA13)*EE3:EE42)+SUMPRODUCT((DV3:DV42=AA15)*(DY3:DY42=AA13)*EE3:EE42)+SUMPRODUCT((DV3:DV42=AA11)*(DY3:DY42=AA13)*EE3:EE42)+SUMPRODUCT((DV3:DV42=AA12)*(DY3:DY42=AA13)*EE3:EE42)</f>
        <v>0</v>
      </c>
      <c r="AP13" s="75">
        <f>IF(AA13&lt;&gt;"",AB13*4+AC13*2+AN13+AO13,"")</f>
        <v>4</v>
      </c>
      <c r="AQ13" s="75">
        <f>IF(AA13&lt;&gt;"",RANK(AP13,AP11:AP15),"")</f>
        <v>1</v>
      </c>
      <c r="AR13" s="75">
        <f>SUMPRODUCT((AP11:AP15=AP13)*(AG11:AG15&gt;AG13))</f>
        <v>0</v>
      </c>
      <c r="AS13" s="75">
        <f>SUMPRODUCT((AP11:AP15=AP13)*(AG11:AG15=AG13)*(AJ11:AJ15&gt;AJ13))</f>
        <v>0</v>
      </c>
      <c r="AT13" s="75">
        <f>SUMPRODUCT((AP11:AP15=AP13)*(AG11:AG15=AG13)*(AJ11:AJ15=AJ13)*(AK11:AK15&gt;AK13))</f>
        <v>0</v>
      </c>
      <c r="AU13" s="75">
        <f>SUMPRODUCT((AP11:AP15=AP13)*(AG11:AG15=AG13)*(AJ11:AJ15=AJ13)*(AK11:AK15=AK13)*(AL11:AL15&gt;AL13))</f>
        <v>0</v>
      </c>
      <c r="AV13" s="75">
        <f>SUMPRODUCT((AP11:AP15=AP13)*(AG11:AG15=AG13)*(AJ11:AJ15=AJ13)*(AK11:AK15=AK13)*(AL11:AL15=AL13)*(AM11:AM15&gt;AM13))</f>
        <v>1</v>
      </c>
      <c r="AW13" s="75">
        <f t="shared" si="68"/>
        <v>2</v>
      </c>
      <c r="AX13" s="75" t="str">
        <f>IF(AA13&lt;&gt;"",INDEX(AA11:AA15,MATCH(3,AW11:AW15,0),0),"")</f>
        <v>Scotland</v>
      </c>
      <c r="AY13" s="75" t="str">
        <f>IF(W12&lt;&gt;"",W12,"")</f>
        <v/>
      </c>
      <c r="AZ13" s="75">
        <f>SUMPRODUCT((DV3:DV42=AY13)*(DY3:DY42=AY14)*(EF3:EF42="W"))+SUMPRODUCT((DV3:DV42=AY13)*(DY3:DY42=AY15)*(EF3:EF42="W"))+SUMPRODUCT((DV3:DV42=AY13)*(DY3:DY42=AY12)*(EF3:EF42="W"))+SUMPRODUCT((DV3:DV42=AY14)*(DY3:DY42=AY13)*(EG3:EG42="W"))+SUMPRODUCT((DV3:DV42=AY15)*(DY3:DY42=AY13)*(EG3:EG42="W"))+SUMPRODUCT((DV3:DV42=AY12)*(DY3:DY42=AY13)*(EG3:EG42="W"))</f>
        <v>0</v>
      </c>
      <c r="BA13" s="75">
        <f>SUMPRODUCT((DV3:DV42=AY13)*(DY3:DY42=AY14)*(EF3:EF42="D"))+SUMPRODUCT((DV3:DV42=AY13)*(DY3:DY42=AY15)*(EF3:EF42="D"))+SUMPRODUCT((DV3:DV42=AY13)*(DY3:DY42=AY12)*(EF3:EF42="D"))+SUMPRODUCT((DV3:DV42=AY14)*(DY3:DY42=AY13)*(EF3:EF42="D"))+SUMPRODUCT((DV3:DV42=AY15)*(DY3:DY42=AY13)*(EF3:EF42="D"))+SUMPRODUCT((DV3:DV42=AY12)*(DY3:DY42=AY13)*(EF3:EF42="D"))</f>
        <v>0</v>
      </c>
      <c r="BB13" s="75">
        <f>SUMPRODUCT((DV3:DV42=AY13)*(DY3:DY42=AY14)*(EF3:EF42="L"))+SUMPRODUCT((DV3:DV42=AY13)*(DY3:DY42=AY15)*(EF3:EF42="L"))+SUMPRODUCT((DV3:DV42=AY13)*(DY3:DY42=AY12)*(EF3:EF42="L"))+SUMPRODUCT((DV3:DV42=AY14)*(DY3:DY42=AY13)*(EG3:EG42="L"))+SUMPRODUCT((DV3:DV42=AY15)*(DY3:DY42=AY13)*(EG3:EG42="L"))+SUMPRODUCT((DV3:DV42=AY12)*(DY3:DY42=AY13)*(EG3:EG42="L"))</f>
        <v>0</v>
      </c>
      <c r="BC13" s="75">
        <f>IF(AY13&lt;&gt;"",VLOOKUP(AY13,B4:F29,5,FALSE),0)</f>
        <v>0</v>
      </c>
      <c r="BD13" s="75">
        <f>IF(AY13&lt;&gt;"",VLOOKUP(AY13,B4:G29,6,FALSE),0)</f>
        <v>0</v>
      </c>
      <c r="BE13" s="75">
        <f>BC13-BD13+1000</f>
        <v>1000</v>
      </c>
      <c r="BF13" s="75">
        <f>IF(AY13&lt;&gt;"",VLOOKUP(AY13,B4:I29,8,FALSE),0)</f>
        <v>0</v>
      </c>
      <c r="BG13" s="75">
        <f>IF(AY13&lt;&gt;"",VLOOKUP(AY13,B4:J29,9,FALSE),0)</f>
        <v>0</v>
      </c>
      <c r="BH13" s="75">
        <f t="shared" ref="BH13" si="80">BF13-BG13+1000</f>
        <v>1000</v>
      </c>
      <c r="BI13" s="75" t="str">
        <f>IF(AY13&lt;&gt;"",VLOOKUP(AY13,B11:F15,5,FALSE),"")</f>
        <v/>
      </c>
      <c r="BJ13" s="75" t="str">
        <f>IF(AY13&lt;&gt;"",VLOOKUP(AY13,B11:I15,8,FALSE),"")</f>
        <v/>
      </c>
      <c r="BK13" s="75" t="str">
        <f>IF(AY13&lt;&gt;"",VLOOKUP(AY13,B11:P15,15,FALSE),"")</f>
        <v/>
      </c>
      <c r="BL13" s="75">
        <f>SUMPRODUCT((DV3:DV42=AY13)*(DY3:DY42=AY14)*EB3:EB42)+SUMPRODUCT((DV3:DV42=AY13)*(DY3:DY42=AY15)*EB3:EB42)+SUMPRODUCT((DV3:DV42=AY13)*(DY3:DY42=AY12)*EB3:EB42)+SUMPRODUCT((DV3:DV42=AY14)*(DY3:DY42=AY13)*EC3:EC42)+SUMPRODUCT((DV3:DV42=AY15)*(DY3:DY42=AY13)*EC3:EC42)+SUMPRODUCT((DV3:DV42=AY12)*(DY3:DY42=AY13)*EC3:EC42)</f>
        <v>0</v>
      </c>
      <c r="BM13" s="75">
        <f>SUMPRODUCT((DV3:DV42=AY13)*(DY3:DY42=AY14)*ED3:ED42)+SUMPRODUCT((DV3:DV42=AY13)*(DY3:DY42=AY15)*ED3:ED42)+SUMPRODUCT((DV3:DV42=AY13)*(DY3:DY42=AY12)*ED3:ED42)+SUMPRODUCT((DV3:DV42=AY14)*(DY3:DY42=AY13)*EE3:EE42)+SUMPRODUCT((DV3:DV42=AY15)*(DY3:DY42=AY13)*EE3:EE42)+SUMPRODUCT((DV3:DV42=AY12)*(DY3:DY42=AY13)*EE3:EE42)</f>
        <v>0</v>
      </c>
      <c r="BN13" s="75">
        <f>AZ13*4+BA13*2+BL13+BM13</f>
        <v>0</v>
      </c>
      <c r="BO13" s="75" t="str">
        <f>IF(AY13&lt;&gt;"",RANK(BN13,BN12:BN15),"")</f>
        <v/>
      </c>
      <c r="BP13" s="75">
        <f>SUMPRODUCT((BN12:BN15=BN13)*(BE12:BE15&gt;BE13))</f>
        <v>0</v>
      </c>
      <c r="BQ13" s="75">
        <f>SUMPRODUCT((BN12:BN15=BN13)*(BE12:BE15=BE13)*(BH12:BH15&gt;BH13))</f>
        <v>0</v>
      </c>
      <c r="BR13" s="75">
        <f>SUMPRODUCT((BN11:BN15=BN13)*(BE11:BE15=BE13)*(BH11:BH15=BH13)*(BI11:BI15&gt;BI13))</f>
        <v>0</v>
      </c>
      <c r="BS13" s="75">
        <f>SUMPRODUCT((BN11:BN15=BN13)*(BE11:BE15=BE13)*(BH11:BH15=BH13)*(BI11:BI15=BI13)*(BJ11:BJ15&gt;BJ13))</f>
        <v>0</v>
      </c>
      <c r="BT13" s="75">
        <f>SUMPRODUCT((BN11:BN15=BN13)*(BE11:BE15=BE13)*(BH11:BH15=BH13)*(BI11:BI15=BI13)*(BJ11:BJ15=BJ13)*(BK11:BK15&gt;BK13))</f>
        <v>0</v>
      </c>
      <c r="BU13" s="75" t="str">
        <f t="shared" si="69"/>
        <v/>
      </c>
      <c r="BV13" s="75" t="str">
        <f>IF(AY13&lt;&gt;"",INDEX(AY12:AY15,MATCH(3,BU12:BU15,0),0),"")</f>
        <v/>
      </c>
      <c r="BW13" s="75" t="str">
        <f>IF(X11&lt;&gt;"",X11,"")</f>
        <v/>
      </c>
      <c r="BX13" s="75">
        <f>SUMPRODUCT((DV3:DV42=BW13)*(DY3:DY42=BW14)*(EF3:EF42="W"))+SUMPRODUCT((DV3:DV42=BW13)*(DY3:DY42=BW15)*(EF3:EF42="W"))+SUMPRODUCT((DV3:DV42=BW13)*(DY3:DY42=BW16)*(EF3:EF42="W"))+SUMPRODUCT((DV3:DV42=BW14)*(DY3:DY42=BW13)*(EG3:EG42="W"))+SUMPRODUCT((DV3:DV42=BW15)*(DY3:DY42=BW13)*(EG3:EG42="W"))+SUMPRODUCT((DV3:DV42=BW16)*(DY3:DY42=BW13)*(EG3:EG42="W"))</f>
        <v>0</v>
      </c>
      <c r="BY13" s="75">
        <f>SUMPRODUCT((DV3:DV42=BW13)*(DY3:DY42=BW14)*(EF3:EF42="D"))+SUMPRODUCT((DV3:DV42=BW13)*(DY3:DY42=BW15)*(EF3:EF42="D"))+SUMPRODUCT((DV3:DV42=BW13)*(DY3:DY42=BW16)*(EF3:EF42="D"))+SUMPRODUCT((DV3:DV42=BW14)*(DY3:DY42=BW13)*(EF3:EF42="D"))+SUMPRODUCT((DV3:DV42=BW15)*(DY3:DY42=BW13)*(EF3:EF42="D"))+SUMPRODUCT((DV3:DV42=BW16)*(DY3:DY42=BW13)*(EF3:EF42="D"))</f>
        <v>0</v>
      </c>
      <c r="BZ13" s="75">
        <f>SUMPRODUCT((DV3:DV42=BW13)*(DY3:DY42=BW14)*(EF3:EF42="L"))+SUMPRODUCT((DV3:DV42=BW13)*(DY3:DY42=BW15)*(EF3:EF42="L"))+SUMPRODUCT((DV3:DV42=BW13)*(DY3:DY42=BW16)*(EF3:EF42="L"))+SUMPRODUCT((DV3:DV42=BW14)*(DY3:DY42=BW13)*(EG3:EG42="L"))+SUMPRODUCT((DV3:DV42=BW15)*(DY3:DY42=BW13)*(EG3:EG42="L"))+SUMPRODUCT((DV3:DV42=BW16)*(DY3:DY42=BW13)*(EG3:EG42="L"))</f>
        <v>0</v>
      </c>
      <c r="CA13" s="75">
        <f>IF(BW13&lt;&gt;"",VLOOKUP(BW13,B4:F29,5,FALSE),0)</f>
        <v>0</v>
      </c>
      <c r="CB13" s="75">
        <f>IF(BW13&lt;&gt;"",VLOOKUP(BW13,B4:G29,6,FALSE),0)</f>
        <v>0</v>
      </c>
      <c r="CC13" s="75">
        <f>CA13-CB13+1000</f>
        <v>1000</v>
      </c>
      <c r="CD13" s="75">
        <f>IF(BW13&lt;&gt;"",VLOOKUP(BW13,B4:I29,8,FALSE),0)</f>
        <v>0</v>
      </c>
      <c r="CE13" s="75">
        <f>IF(BW13&lt;&gt;"",VLOOKUP(BW13,B4:J29,9,FALSE),0)</f>
        <v>0</v>
      </c>
      <c r="CF13" s="75">
        <f>CD13-CE13+1000</f>
        <v>1000</v>
      </c>
      <c r="CG13" s="75" t="str">
        <f>IF(BW13&lt;&gt;"",VLOOKUP(BW13,B11:F15,5,FALSE),"")</f>
        <v/>
      </c>
      <c r="CH13" s="75" t="str">
        <f>IF(BW13&lt;&gt;"",VLOOKUP(BW13,B11:I15,8,FALSE),"")</f>
        <v/>
      </c>
      <c r="CI13" s="75" t="str">
        <f>IF(BW13&lt;&gt;"",VLOOKUP(BW13,B11:P15,15,FALSE),"")</f>
        <v/>
      </c>
      <c r="CJ13" s="75">
        <f>SUMPRODUCT((DV3:DV42=BW13)*(DY3:DY42=BW14)*EB3:EB42)+SUMPRODUCT((DV3:DV42=BW13)*(DY3:DY42=BW15)*EB3:EB42)+SUMPRODUCT((DV3:DV42=BW13)*(DY3:DY42=BW16)*EB3:EB42)+SUMPRODUCT((DV3:DV42=BW14)*(DY3:DY42=BW13)*EC3:EC42)+SUMPRODUCT((DV3:DV42=BW15)*(DY3:DY42=BW13)*EC3:EC42)+SUMPRODUCT((DV3:DV42=BW16)*(DY3:DY42=BW13)*EC3:EC42)</f>
        <v>0</v>
      </c>
      <c r="CK13" s="75">
        <f>SUMPRODUCT((DV3:DV42=BW13)*(DY3:DY42=BW14)*ED3:ED42)+SUMPRODUCT((DV3:DV42=BW13)*(DY3:DY42=BW15)*ED3:ED42)+SUMPRODUCT((DV3:DV42=BW13)*(DY3:DY42=BW16)*ED3:ED42)+SUMPRODUCT((DV3:DV42=BW14)*(DY3:DY42=BW13)*EE3:EE42)+SUMPRODUCT((DV3:DV42=BW15)*(DY3:DY42=BW13)*EE3:EE42)+SUMPRODUCT((DV3:DV42=BW16)*(DY3:DY42=BW13)*EE3:EE42)</f>
        <v>0</v>
      </c>
      <c r="CL13" s="75">
        <f>BX13*4+BY13*2+CJ13+CK13</f>
        <v>0</v>
      </c>
      <c r="CM13" s="75" t="str">
        <f>IF(BW13&lt;&gt;"",RANK(CL13,CL13:CL16),"")</f>
        <v/>
      </c>
      <c r="CN13" s="75">
        <f>SUMPRODUCT((CL13:CL16=CL13)*(CC13:CC16&gt;CC13))</f>
        <v>0</v>
      </c>
      <c r="CO13" s="75">
        <f>SUMPRODUCT((CL13:CL16=CL13)*(CC13:CC16=CC13)*(CF13:CF16&gt;CF13))</f>
        <v>0</v>
      </c>
      <c r="CP13" s="75">
        <f>SUMPRODUCT((CL11:CL15=CL13)*(CC11:CC15=CC13)*(CF11:CF15=CF13)*(CG11:CG15&gt;CG13))</f>
        <v>0</v>
      </c>
      <c r="CQ13" s="75">
        <f>SUMPRODUCT((CL11:CL15=CL13)*(CC11:CC15=CC13)*(CF11:CF15=CF13)*(CG11:CG15=CG13)*(CH11:CH15&gt;CH13))</f>
        <v>0</v>
      </c>
      <c r="CR13" s="75">
        <f>SUMPRODUCT((CL11:CL15=CL13)*(CC11:CC15=CC13)*(CF11:CF15=CF13)*(CG11:CG15=CG13)*(CH11:CH15=CH13)*(CI11:CI15&gt;CI13))</f>
        <v>0</v>
      </c>
      <c r="CS13" s="75" t="str">
        <f t="shared" ref="CS13:CS15" si="81">IF(BW13&lt;&gt;"",SUM(CM13:CR13)+2,"")</f>
        <v/>
      </c>
      <c r="CT13" s="75" t="str">
        <f>IF(BW13&lt;&gt;"",INDEX(BW13:BW15,MATCH(3,CS13:CS15,0),0),"")</f>
        <v/>
      </c>
      <c r="DS13" s="75" t="str">
        <f>IF(CT13&lt;&gt;"",CT13,IF(BV13&lt;&gt;"",BV13,IF(AX13&lt;&gt;"",AX13,T13)))</f>
        <v>Scotland</v>
      </c>
      <c r="DT13" s="75">
        <v>3</v>
      </c>
      <c r="DU13" s="75">
        <v>11</v>
      </c>
      <c r="DV13" s="75" t="str">
        <f>Tournament!H23</f>
        <v>France</v>
      </c>
      <c r="DW13" s="75">
        <f>IF(AND(Tournament!J23&lt;&gt;"",Tournament!L23&lt;&gt;""),Tournament!J23,0)</f>
        <v>0</v>
      </c>
      <c r="DX13" s="75">
        <f>IF(AND(Tournament!L23&lt;&gt;"",Tournament!J23&lt;&gt;""),Tournament!L23,0)</f>
        <v>0</v>
      </c>
      <c r="DY13" s="75" t="str">
        <f>Tournament!N23</f>
        <v>Romania</v>
      </c>
      <c r="DZ13" s="75">
        <f>IF(Tournament!O23&lt;&gt;"",Tournament!O23,0)</f>
        <v>0</v>
      </c>
      <c r="EA13" s="75">
        <f>IF(Tournament!Q23&lt;&gt;"",Tournament!Q23,0)</f>
        <v>0</v>
      </c>
      <c r="EB13" s="75">
        <f>IF(DW13&lt;&gt;"",IF(Tournament!O23&gt;3,1,0),0)</f>
        <v>1</v>
      </c>
      <c r="EC13" s="75">
        <f>IF(DX13&lt;&gt;"",IF(Tournament!Q23&gt;3,1,0),0)</f>
        <v>1</v>
      </c>
      <c r="ED13" s="75">
        <f t="shared" si="1"/>
        <v>0</v>
      </c>
      <c r="EE13" s="75">
        <f t="shared" si="2"/>
        <v>0</v>
      </c>
      <c r="EF13" s="75" t="str">
        <f>IF(AND(Tournament!J23&lt;&gt;"",Tournament!L23&lt;&gt;""),IF(DW13&gt;DX13,"W",IF(DW13=DX13,"D","L")),"")</f>
        <v/>
      </c>
      <c r="EG13" s="75" t="str">
        <f t="shared" si="3"/>
        <v/>
      </c>
      <c r="EH13" s="75">
        <f ca="1">VLOOKUP(EI13,IZ11:JA15,2,FALSE)</f>
        <v>2</v>
      </c>
      <c r="EI13" s="75" t="s">
        <v>7</v>
      </c>
      <c r="EJ13" s="75">
        <f t="shared" ca="1" si="55"/>
        <v>0</v>
      </c>
      <c r="EK13" s="75">
        <f t="shared" ca="1" si="56"/>
        <v>0</v>
      </c>
      <c r="EL13" s="75">
        <f t="shared" ca="1" si="57"/>
        <v>0</v>
      </c>
      <c r="EM13" s="75">
        <f t="shared" ca="1" si="58"/>
        <v>0</v>
      </c>
      <c r="EN13" s="75">
        <f t="shared" ca="1" si="70"/>
        <v>0</v>
      </c>
      <c r="EO13" s="75">
        <f t="shared" ca="1" si="59"/>
        <v>1000</v>
      </c>
      <c r="EP13" s="75">
        <f t="shared" ca="1" si="71"/>
        <v>0</v>
      </c>
      <c r="EQ13" s="75">
        <f t="shared" ca="1" si="72"/>
        <v>0</v>
      </c>
      <c r="ER13" s="75">
        <f t="shared" ca="1" si="60"/>
        <v>1000</v>
      </c>
      <c r="ES13" s="75">
        <f t="shared" ca="1" si="61"/>
        <v>0</v>
      </c>
      <c r="ET13" s="75">
        <f ca="1">SUMIF(JC:JC,EI13,JI:JI)+SUMIF(JF:JF,EI13,JJ:JJ)</f>
        <v>0</v>
      </c>
      <c r="EU13" s="75">
        <f ca="1">SUMIF(JC:JC,EI13,JK:JK)+SUMIF(JF:JF,EI13,JL:JL)</f>
        <v>0</v>
      </c>
      <c r="EV13" s="75">
        <f t="shared" ca="1" si="62"/>
        <v>0</v>
      </c>
      <c r="EW13" s="75">
        <v>14</v>
      </c>
      <c r="EX13" s="75">
        <f t="shared" ca="1" si="73"/>
        <v>1</v>
      </c>
      <c r="EZ13" s="75">
        <f ca="1">RANK(EV13,EV$11:EV$15)+COUNTIF(EV$11:EV13,EV13)-1</f>
        <v>3</v>
      </c>
      <c r="FA13" s="75" t="str">
        <f ca="1">INDEX(EI$11:EI$15,MATCH(3,EZ$11:EZ$15,0),0)</f>
        <v>Japan</v>
      </c>
      <c r="FB13" s="75">
        <f t="shared" ca="1" si="74"/>
        <v>1</v>
      </c>
      <c r="FC13" s="75" t="str">
        <f ca="1">IF(AND(FC12&lt;&gt;"",FB13=1),FA13,"")</f>
        <v>Japan</v>
      </c>
      <c r="FD13" s="75" t="str">
        <f ca="1">IF(AND(FD12&lt;&gt;"",FB14=2),FA14,"")</f>
        <v/>
      </c>
      <c r="FE13" s="75" t="str">
        <f ca="1">IF(AND(FE12&lt;&gt;"",FB15=3),FA15,"")</f>
        <v/>
      </c>
      <c r="FH13" s="75" t="str">
        <f t="shared" ca="1" si="75"/>
        <v>Japan</v>
      </c>
      <c r="FI13" s="75">
        <f ca="1">SUMPRODUCT((JC3:JC42=FH13)*(JF3:JF42=FH14)*(JM3:JM42="W"))+SUMPRODUCT((JC3:JC42=FH13)*(JF3:JF42=FH15)*(JM3:JM42="W"))+SUMPRODUCT((JC3:JC42=FH13)*(JF3:JF42=FH11)*(JM3:JM42="W"))+SUMPRODUCT((JC3:JC42=FH13)*(JF3:JF42=FH12)*(JM3:JM42="W"))+SUMPRODUCT((JC3:JC42=FH14)*(JF3:JF42=FH13)*(JN3:JN42="W"))+SUMPRODUCT((JC3:JC42=FH15)*(JF3:JF42=FH13)*(JN3:JN42="W"))+SUMPRODUCT((JC3:JC42=FH11)*(JF3:JF42=FH13)*(JN3:JN42="W"))+SUMPRODUCT((JC3:JC42=FH12)*(JF3:JF42=FH13)*(JN3:JN42="W"))</f>
        <v>0</v>
      </c>
      <c r="FJ13" s="75">
        <f ca="1">SUMPRODUCT((JC3:JC42=FH13)*(JF3:JF42=FH14)*(JM3:JM42="D"))+SUMPRODUCT((JC3:JC42=FH13)*(JF3:JF42=FH15)*(JM3:JM42="D"))+SUMPRODUCT((JC3:JC42=FH13)*(JF3:JF42=FH11)*(JM3:JM42="D"))+SUMPRODUCT((JC3:JC42=FH13)*(JF3:JF42=FH12)*(JM3:JM42="D"))+SUMPRODUCT((JC3:JC42=FH14)*(JF3:JF42=FH13)*(JM3:JM42="D"))+SUMPRODUCT((JC3:JC42=FH15)*(JF3:JF42=FH13)*(JM3:JM42="D"))+SUMPRODUCT((JC3:JC42=FH11)*(JF3:JF42=FH13)*(JM3:JM42="D"))+SUMPRODUCT((JC3:JC42=FH12)*(JF3:JF42=FH13)*(JM3:JM42="D"))</f>
        <v>0</v>
      </c>
      <c r="FK13" s="75">
        <f ca="1">SUMPRODUCT((JC3:JC42=FH13)*(JF3:JF42=FH14)*(JM3:JM42="L"))+SUMPRODUCT((JC3:JC42=FH13)*(JF3:JF42=FH15)*(JM3:JM42="L"))+SUMPRODUCT((JC3:JC42=FH13)*(JF3:JF42=FH11)*(JM3:JM42="L"))+SUMPRODUCT((JC3:JC42=FH13)*(JF3:JF42=FH12)*(JM3:JM42="L"))+SUMPRODUCT((JC3:JC42=FH14)*(JF3:JF42=FH13)*(JN3:JN42="L"))+SUMPRODUCT((JC3:JC42=FH15)*(JF3:JF42=FH13)*(JN3:JN42="L"))+SUMPRODUCT((JC3:JC42=FH11)*(JF3:JF42=FH13)*(JN3:JN42="L"))+SUMPRODUCT((JC3:JC42=FH12)*(JF3:JF42=FH13)*(JN3:JN42="L"))</f>
        <v>0</v>
      </c>
      <c r="FL13" s="75">
        <f ca="1">IF(FH13&lt;&gt;"",VLOOKUP(FH13,EI4:EM29,5,FALSE),0)</f>
        <v>0</v>
      </c>
      <c r="FM13" s="75">
        <f ca="1">IF(FH13&lt;&gt;"",VLOOKUP(FH13,EI4:EN29,6,FALSE),0)</f>
        <v>0</v>
      </c>
      <c r="FN13" s="75">
        <f ca="1">FL13-FM13+1000</f>
        <v>1000</v>
      </c>
      <c r="FO13" s="75">
        <f ca="1">IF(FH13&lt;&gt;"",VLOOKUP(FH13,EI4:EP29,8,FALSE),0)</f>
        <v>0</v>
      </c>
      <c r="FP13" s="75">
        <f ca="1">IF(FH13&lt;&gt;"",VLOOKUP(FH13,EI4:EQ29,9,FALSE),0)</f>
        <v>0</v>
      </c>
      <c r="FQ13" s="75">
        <f ca="1">IF(FH13&lt;&gt;"",FO13-FP13+1000,"")</f>
        <v>1000</v>
      </c>
      <c r="FR13" s="75">
        <f ca="1">IF(FH13&lt;&gt;"",VLOOKUP(FH13,EI11:EM15,5,FALSE),"")</f>
        <v>0</v>
      </c>
      <c r="FS13" s="75">
        <f ca="1">IF(FH13&lt;&gt;"",VLOOKUP(FH13,EI11:EP15,8,FALSE),"")</f>
        <v>0</v>
      </c>
      <c r="FT13" s="75">
        <f ca="1">IF(FH13&lt;&gt;"",VLOOKUP(FH13,EI11:EW15,15,FALSE),"")</f>
        <v>14</v>
      </c>
      <c r="FU13" s="75">
        <f ca="1">SUMPRODUCT((JC3:JC42=FH13)*(JF3:JF42=FH14)*JI3:JI42)+SUMPRODUCT((JC3:JC42=FH13)*(JF3:JF42=FH15)*JI3:JI42)+SUMPRODUCT((JC3:JC42=FH13)*(JF3:JF42=FH11)*JI3:JI42)+SUMPRODUCT((JC3:JC42=FH13)*(JF3:JF42=FH12)*JI3:JI42)+SUMPRODUCT((JC3:JC42=FH14)*(JF3:JF42=FH13)*JJ3:JJ42)+SUMPRODUCT((JC3:JC42=FH15)*(JF3:JF42=FH13)*JJ3:JJ42)+SUMPRODUCT((JC3:JC42=FH11)*(JF3:JF42=FH13)*JJ3:JJ42)+SUMPRODUCT((JC3:JC42=FH12)*(JF3:JF42=FH13)*JJ3:JJ42)</f>
        <v>0</v>
      </c>
      <c r="FV13" s="75">
        <f ca="1">SUMPRODUCT((JC3:JC42=FH13)*(JF3:JF42=FH14)*JK3:JK42)+SUMPRODUCT((JC3:JC42=FH13)*(JF3:JF42=FH15)*JK3:JK42)+SUMPRODUCT((JC3:JC42=FH13)*(JF3:JF42=FH11)*JK3:JK42)+SUMPRODUCT((JC3:JC42=FH13)*(JF3:JF42=FH12)*JK3:JK42)+SUMPRODUCT((JC3:JC42=FH14)*(JF3:JF42=FH13)*JL3:JL42)+SUMPRODUCT((JC3:JC42=FH15)*(JF3:JF42=FH13)*JL3:JL42)+SUMPRODUCT((JC3:JC42=FH11)*(JF3:JF42=FH13)*JL3:JL42)+SUMPRODUCT((JC3:JC42=FH12)*(JF3:JF42=FH13)*JL3:JL42)</f>
        <v>0</v>
      </c>
      <c r="FW13" s="75">
        <f ca="1">IF(FH13&lt;&gt;"",FI13*4+FJ13*2+FU13+FV13,"")</f>
        <v>0</v>
      </c>
      <c r="FX13" s="75">
        <f ca="1">IF(FH13&lt;&gt;"",RANK(FW13,FW11:FW15),"")</f>
        <v>1</v>
      </c>
      <c r="FY13" s="75">
        <f ca="1">SUMPRODUCT((FW11:FW15=FW13)*(FN11:FN15&gt;FN13))</f>
        <v>0</v>
      </c>
      <c r="FZ13" s="75">
        <f ca="1">SUMPRODUCT((FW11:FW15=FW13)*(FN11:FN15=FN13)*(FQ11:FQ15&gt;FQ13))</f>
        <v>0</v>
      </c>
      <c r="GA13" s="75">
        <f ca="1">SUMPRODUCT((FW11:FW15=FW13)*(FN11:FN15=FN13)*(FQ11:FQ15=FQ13)*(FR11:FR15&gt;FR13))</f>
        <v>0</v>
      </c>
      <c r="GB13" s="75">
        <f ca="1">SUMPRODUCT((FW11:FW15=FW13)*(FN11:FN15=FN13)*(FQ11:FQ15=FQ13)*(FR11:FR15=FR13)*(FS11:FS15&gt;FS13))</f>
        <v>0</v>
      </c>
      <c r="GC13" s="75">
        <f ca="1">SUMPRODUCT((FW11:FW15=FW13)*(FN11:FN15=FN13)*(FQ11:FQ15=FQ13)*(FR11:FR15=FR13)*(FS11:FS15=FS13)*(FT11:FT15&gt;FT13))</f>
        <v>1</v>
      </c>
      <c r="GD13" s="75">
        <f t="shared" ca="1" si="78"/>
        <v>2</v>
      </c>
      <c r="GE13" s="75" t="str">
        <f ca="1">IF(FH13&lt;&gt;"",INDEX(FH11:FH15,MATCH(3,GD11:GD15,0),0),"")</f>
        <v>Scotland</v>
      </c>
      <c r="GF13" s="75" t="str">
        <f ca="1">IF(FD12&lt;&gt;"",FD12,"")</f>
        <v/>
      </c>
      <c r="GG13" s="75">
        <f ca="1">SUMPRODUCT((JC3:JC42=GF13)*(JF3:JF42=GF14)*(JM3:JM42="W"))+SUMPRODUCT((JC3:JC42=GF13)*(JF3:JF42=GF15)*(JM3:JM42="W"))+SUMPRODUCT((JC3:JC42=GF13)*(JF3:JF42=GF12)*(JM3:JM42="W"))+SUMPRODUCT((JC3:JC42=GF14)*(JF3:JF42=GF13)*(JN3:JN42="W"))+SUMPRODUCT((JC3:JC42=GF15)*(JF3:JF42=GF13)*(JN3:JN42="W"))+SUMPRODUCT((JC3:JC42=GF12)*(JF3:JF42=GF13)*(JN3:JN42="W"))</f>
        <v>0</v>
      </c>
      <c r="GH13" s="75">
        <f ca="1">SUMPRODUCT((JC3:JC42=GF13)*(JF3:JF42=GF14)*(JM3:JM42="D"))+SUMPRODUCT((JC3:JC42=GF13)*(JF3:JF42=GF15)*(JM3:JM42="D"))+SUMPRODUCT((JC3:JC42=GF13)*(JF3:JF42=GF12)*(JM3:JM42="D"))+SUMPRODUCT((JC3:JC42=GF14)*(JF3:JF42=GF13)*(JM3:JM42="D"))+SUMPRODUCT((JC3:JC42=GF15)*(JF3:JF42=GF13)*(JM3:JM42="D"))+SUMPRODUCT((JC3:JC42=GF12)*(JF3:JF42=GF13)*(JM3:JM42="D"))</f>
        <v>0</v>
      </c>
      <c r="GI13" s="75">
        <f ca="1">SUMPRODUCT((JC3:JC42=GF13)*(JF3:JF42=GF14)*(JM3:JM42="L"))+SUMPRODUCT((JC3:JC42=GF13)*(JF3:JF42=GF15)*(JM3:JM42="L"))+SUMPRODUCT((JC3:JC42=GF13)*(JF3:JF42=GF12)*(JM3:JM42="L"))+SUMPRODUCT((JC3:JC42=GF14)*(JF3:JF42=GF13)*(JN3:JN42="L"))+SUMPRODUCT((JC3:JC42=GF15)*(JF3:JF42=GF13)*(JN3:JN42="L"))+SUMPRODUCT((JC3:JC42=GF12)*(JF3:JF42=GF13)*(JN3:JN42="L"))</f>
        <v>0</v>
      </c>
      <c r="GJ13" s="75">
        <f ca="1">IF(GF13&lt;&gt;"",VLOOKUP(GF13,EI4:EM29,5,FALSE),0)</f>
        <v>0</v>
      </c>
      <c r="GK13" s="75">
        <f ca="1">IF(GF13&lt;&gt;"",VLOOKUP(GF13,EI4:EN29,6,FALSE),0)</f>
        <v>0</v>
      </c>
      <c r="GL13" s="75">
        <f ca="1">GJ13-GK13+1000</f>
        <v>1000</v>
      </c>
      <c r="GM13" s="75">
        <f ca="1">IF(GF13&lt;&gt;"",VLOOKUP(GF13,EI4:EP29,8,FALSE),0)</f>
        <v>0</v>
      </c>
      <c r="GN13" s="75">
        <f ca="1">IF(GF13&lt;&gt;"",VLOOKUP(GF13,EI4:EQ29,9,FALSE),0)</f>
        <v>0</v>
      </c>
      <c r="GO13" s="75">
        <f t="shared" ref="GO13" ca="1" si="82">GM13-GN13+1000</f>
        <v>1000</v>
      </c>
      <c r="GP13" s="75" t="str">
        <f ca="1">IF(GF13&lt;&gt;"",VLOOKUP(GF13,EI11:EM15,5,FALSE),"")</f>
        <v/>
      </c>
      <c r="GQ13" s="75" t="str">
        <f ca="1">IF(GF13&lt;&gt;"",VLOOKUP(GF13,EI11:EP15,8,FALSE),"")</f>
        <v/>
      </c>
      <c r="GR13" s="75" t="str">
        <f ca="1">IF(GF13&lt;&gt;"",VLOOKUP(GF13,EI11:EW15,15,FALSE),"")</f>
        <v/>
      </c>
      <c r="GS13" s="75">
        <f ca="1">SUMPRODUCT((JC3:JC42=GF13)*(JF3:JF42=GF14)*JI3:JI42)+SUMPRODUCT((JC3:JC42=GF13)*(JF3:JF42=GF15)*JI3:JI42)+SUMPRODUCT((JC3:JC42=GF13)*(JF3:JF42=GF12)*JI3:JI42)+SUMPRODUCT((JC3:JC42=GF14)*(JF3:JF42=GF13)*JJ3:JJ42)+SUMPRODUCT((JC3:JC42=GF15)*(JF3:JF42=GF13)*JJ3:JJ42)+SUMPRODUCT((JC3:JC42=GF12)*(JF3:JF42=GF13)*JJ3:JJ42)</f>
        <v>0</v>
      </c>
      <c r="GT13" s="75">
        <f ca="1">SUMPRODUCT((JC3:JC42=GF13)*(JF3:JF42=GF14)*JK3:JK42)+SUMPRODUCT((JC3:JC42=GF13)*(JF3:JF42=GF15)*JK3:JK42)+SUMPRODUCT((JC3:JC42=GF13)*(JF3:JF42=GF12)*JK3:JK42)+SUMPRODUCT((JC3:JC42=GF14)*(JF3:JF42=GF13)*JL3:JL42)+SUMPRODUCT((JC3:JC42=GF15)*(JF3:JF42=GF13)*JL3:JL42)+SUMPRODUCT((JC3:JC42=GF12)*(JF3:JF42=GF13)*JL3:JL42)</f>
        <v>0</v>
      </c>
      <c r="GU13" s="75">
        <f ca="1">GG13*4+GH13*2+GS13+GT13</f>
        <v>0</v>
      </c>
      <c r="GV13" s="75" t="str">
        <f ca="1">IF(GF13&lt;&gt;"",RANK(GU13,GU12:GU15),"")</f>
        <v/>
      </c>
      <c r="GW13" s="75">
        <f ca="1">SUMPRODUCT((GU12:GU15=GU13)*(GL12:GL15&gt;GL13))</f>
        <v>0</v>
      </c>
      <c r="GX13" s="75">
        <f ca="1">SUMPRODUCT((GU12:GU15=GU13)*(GL12:GL15=GL13)*(GO12:GO15&gt;GO13))</f>
        <v>0</v>
      </c>
      <c r="GY13" s="75">
        <f ca="1">SUMPRODUCT((GU11:GU15=GU13)*(GL11:GL15=GL13)*(GO11:GO15=GO13)*(GP11:GP15&gt;GP13))</f>
        <v>0</v>
      </c>
      <c r="GZ13" s="75">
        <f ca="1">SUMPRODUCT((GU11:GU15=GU13)*(GL11:GL15=GL13)*(GO11:GO15=GO13)*(GP11:GP15=GP13)*(GQ11:GQ15&gt;GQ13))</f>
        <v>0</v>
      </c>
      <c r="HA13" s="75">
        <f ca="1">SUMPRODUCT((GU11:GU15=GU13)*(GL11:GL15=GL13)*(GO11:GO15=GO13)*(GP11:GP15=GP13)*(GQ11:GQ15=GQ13)*(GR11:GR15&gt;GR13))</f>
        <v>0</v>
      </c>
      <c r="HB13" s="75" t="str">
        <f t="shared" ca="1" si="79"/>
        <v/>
      </c>
      <c r="HC13" s="75" t="str">
        <f ca="1">IF(GF13&lt;&gt;"",INDEX(GF12:GF15,MATCH(3,HB12:HB15,0),0),"")</f>
        <v/>
      </c>
      <c r="HD13" s="75" t="str">
        <f ca="1">IF(FE11&lt;&gt;"",FE11,"")</f>
        <v/>
      </c>
      <c r="HE13" s="75">
        <f ca="1">SUMPRODUCT((JC3:JC42=HD13)*(JF3:JF42=HD14)*(JM3:JM42="W"))+SUMPRODUCT((JC3:JC42=HD13)*(JF3:JF42=HD15)*(JM3:JM42="W"))+SUMPRODUCT((JC3:JC42=HD13)*(JF3:JF42=HD16)*(JM3:JM42="W"))+SUMPRODUCT((JC3:JC42=HD14)*(JF3:JF42=HD13)*(JN3:JN42="W"))+SUMPRODUCT((JC3:JC42=HD15)*(JF3:JF42=HD13)*(JN3:JN42="W"))+SUMPRODUCT((JC3:JC42=HD16)*(JF3:JF42=HD13)*(JN3:JN42="W"))</f>
        <v>0</v>
      </c>
      <c r="HF13" s="75">
        <f ca="1">SUMPRODUCT((JC3:JC42=HD13)*(JF3:JF42=HD14)*(JM3:JM42="D"))+SUMPRODUCT((JC3:JC42=HD13)*(JF3:JF42=HD15)*(JM3:JM42="D"))+SUMPRODUCT((JC3:JC42=HD13)*(JF3:JF42=HD16)*(JM3:JM42="D"))+SUMPRODUCT((JC3:JC42=HD14)*(JF3:JF42=HD13)*(JM3:JM42="D"))+SUMPRODUCT((JC3:JC42=HD15)*(JF3:JF42=HD13)*(JM3:JM42="D"))+SUMPRODUCT((JC3:JC42=HD16)*(JF3:JF42=HD13)*(JM3:JM42="D"))</f>
        <v>0</v>
      </c>
      <c r="HG13" s="75">
        <f ca="1">SUMPRODUCT((JC3:JC42=HD13)*(JF3:JF42=HD14)*(JM3:JM42="L"))+SUMPRODUCT((JC3:JC42=HD13)*(JF3:JF42=HD15)*(JM3:JM42="L"))+SUMPRODUCT((JC3:JC42=HD13)*(JF3:JF42=HD16)*(JM3:JM42="L"))+SUMPRODUCT((JC3:JC42=HD14)*(JF3:JF42=HD13)*(JN3:JN42="L"))+SUMPRODUCT((JC3:JC42=HD15)*(JF3:JF42=HD13)*(JN3:JN42="L"))+SUMPRODUCT((JC3:JC42=HD16)*(JF3:JF42=HD13)*(JN3:JN42="L"))</f>
        <v>0</v>
      </c>
      <c r="HH13" s="75">
        <f ca="1">IF(HD13&lt;&gt;"",VLOOKUP(HD13,EI4:EM29,5,FALSE),0)</f>
        <v>0</v>
      </c>
      <c r="HI13" s="75">
        <f ca="1">IF(HD13&lt;&gt;"",VLOOKUP(HD13,EI4:EN29,6,FALSE),0)</f>
        <v>0</v>
      </c>
      <c r="HJ13" s="75">
        <f ca="1">HH13-HI13+1000</f>
        <v>1000</v>
      </c>
      <c r="HK13" s="75">
        <f ca="1">IF(HD13&lt;&gt;"",VLOOKUP(HD13,EI4:EP29,8,FALSE),0)</f>
        <v>0</v>
      </c>
      <c r="HL13" s="75">
        <f ca="1">IF(HD13&lt;&gt;"",VLOOKUP(HD13,EI4:EQ29,9,FALSE),0)</f>
        <v>0</v>
      </c>
      <c r="HM13" s="75">
        <f ca="1">HK13-HL13+1000</f>
        <v>1000</v>
      </c>
      <c r="HN13" s="75" t="str">
        <f ca="1">IF(HD13&lt;&gt;"",VLOOKUP(HD13,EI11:EM15,5,FALSE),"")</f>
        <v/>
      </c>
      <c r="HO13" s="75" t="str">
        <f ca="1">IF(HD13&lt;&gt;"",VLOOKUP(HD13,EI11:EP15,8,FALSE),"")</f>
        <v/>
      </c>
      <c r="HP13" s="75" t="str">
        <f ca="1">IF(HD13&lt;&gt;"",VLOOKUP(HD13,EI11:EW15,15,FALSE),"")</f>
        <v/>
      </c>
      <c r="HQ13" s="75">
        <f ca="1">SUMPRODUCT((JC3:JC42=HD13)*(JF3:JF42=HD14)*JI3:JI42)+SUMPRODUCT((JC3:JC42=HD13)*(JF3:JF42=HD15)*JI3:JI42)+SUMPRODUCT((JC3:JC42=HD13)*(JF3:JF42=HD16)*JI3:JI42)+SUMPRODUCT((JC3:JC42=HD14)*(JF3:JF42=HD13)*JJ3:JJ42)+SUMPRODUCT((JC3:JC42=HD15)*(JF3:JF42=HD13)*JJ3:JJ42)+SUMPRODUCT((JC3:JC42=HD16)*(JF3:JF42=HD13)*JJ3:JJ42)</f>
        <v>0</v>
      </c>
      <c r="HR13" s="75">
        <f ca="1">SUMPRODUCT((JC3:JC42=HD13)*(JF3:JF42=HD14)*JK3:JK42)+SUMPRODUCT((JC3:JC42=HD13)*(JF3:JF42=HD15)*JK3:JK42)+SUMPRODUCT((JC3:JC42=HD13)*(JF3:JF42=HD16)*JK3:JK42)+SUMPRODUCT((JC3:JC42=HD14)*(JF3:JF42=HD13)*JL3:JL42)+SUMPRODUCT((JC3:JC42=HD15)*(JF3:JF42=HD13)*JL3:JL42)+SUMPRODUCT((JC3:JC42=HD16)*(JF3:JF42=HD13)*JL3:JL42)</f>
        <v>0</v>
      </c>
      <c r="HS13" s="75">
        <f ca="1">HE13*4+HF13*2+HQ13+HR13</f>
        <v>0</v>
      </c>
      <c r="HT13" s="75" t="str">
        <f ca="1">IF(HD13&lt;&gt;"",RANK(HS13,HS13:HS16),"")</f>
        <v/>
      </c>
      <c r="HU13" s="75">
        <f ca="1">SUMPRODUCT((HS13:HS16=HS13)*(HJ13:HJ16&gt;HJ13))</f>
        <v>0</v>
      </c>
      <c r="HV13" s="75">
        <f ca="1">SUMPRODUCT((HS13:HS16=HS13)*(HJ13:HJ16=HJ13)*(HM13:HM16&gt;HM13))</f>
        <v>0</v>
      </c>
      <c r="HW13" s="75">
        <f ca="1">SUMPRODUCT((HS11:HS15=HS13)*(HJ11:HJ15=HJ13)*(HM11:HM15=HM13)*(HN11:HN15&gt;HN13))</f>
        <v>0</v>
      </c>
      <c r="HX13" s="75">
        <f ca="1">SUMPRODUCT((HS11:HS15=HS13)*(HJ11:HJ15=HJ13)*(HM11:HM15=HM13)*(HN11:HN15=HN13)*(HO11:HO15&gt;HO13))</f>
        <v>0</v>
      </c>
      <c r="HY13" s="75">
        <f ca="1">SUMPRODUCT((HS11:HS15=HS13)*(HJ11:HJ15=HJ13)*(HM11:HM15=HM13)*(HN11:HN15=HN13)*(HO11:HO15=HO13)*(HP11:HP15&gt;HP13))</f>
        <v>0</v>
      </c>
      <c r="HZ13" s="75" t="str">
        <f t="shared" ref="HZ13:HZ15" ca="1" si="83">IF(HD13&lt;&gt;"",SUM(HT13:HY13)+2,"")</f>
        <v/>
      </c>
      <c r="IA13" s="75" t="str">
        <f ca="1">IF(HD13&lt;&gt;"",INDEX(HD13:HD15,MATCH(3,HZ13:HZ15,0),0),"")</f>
        <v/>
      </c>
      <c r="IZ13" s="75" t="str">
        <f ca="1">IF(IA13&lt;&gt;"",IA13,IF(HC13&lt;&gt;"",HC13,IF(GE13&lt;&gt;"",GE13,FA13)))</f>
        <v>Scotland</v>
      </c>
      <c r="JA13" s="75">
        <v>3</v>
      </c>
      <c r="JB13" s="75">
        <v>11</v>
      </c>
      <c r="JC13" s="75" t="str">
        <f t="shared" si="4"/>
        <v>France</v>
      </c>
      <c r="JD13" s="75" t="str">
        <f ca="1">IF(OFFSET('Prediction Sheet'!$W23,0,JD$1)&lt;&gt;"",OFFSET('Prediction Sheet'!$W23,0,JD$1),"")</f>
        <v/>
      </c>
      <c r="JE13" s="75" t="str">
        <f ca="1">IF(OFFSET('Prediction Sheet'!$Y23,0,JD$1)&lt;&gt;"",OFFSET('Prediction Sheet'!$Y23,0,JD$1),"")</f>
        <v/>
      </c>
      <c r="JF13" s="75" t="str">
        <f t="shared" si="5"/>
        <v>Romania</v>
      </c>
      <c r="JG13" s="75" t="str">
        <f ca="1">IF(OFFSET('Prediction Sheet'!$AA23,0,JF$1)&lt;&gt;"",OFFSET('Prediction Sheet'!$AA23,0,JF$1),"")</f>
        <v/>
      </c>
      <c r="JH13" s="75" t="str">
        <f ca="1">IF(OFFSET('Prediction Sheet'!$AC23,0,JG$1)&lt;&gt;"",OFFSET('Prediction Sheet'!$AC23,0,JG$1),"")</f>
        <v/>
      </c>
      <c r="JI13" s="75">
        <f t="shared" ca="1" si="6"/>
        <v>0</v>
      </c>
      <c r="JJ13" s="75">
        <f t="shared" ca="1" si="7"/>
        <v>0</v>
      </c>
      <c r="JK13" s="75">
        <f t="shared" ca="1" si="8"/>
        <v>0</v>
      </c>
      <c r="JL13" s="75">
        <f t="shared" ca="1" si="9"/>
        <v>0</v>
      </c>
      <c r="JM13" s="75" t="str">
        <f t="shared" ca="1" si="10"/>
        <v/>
      </c>
      <c r="JN13" s="75" t="str">
        <f t="shared" ca="1" si="11"/>
        <v/>
      </c>
    </row>
    <row r="14" spans="1:274" x14ac:dyDescent="0.2">
      <c r="A14" s="75">
        <f>VLOOKUP(B14,DS11:DT15,2,FALSE)</f>
        <v>3</v>
      </c>
      <c r="B14" s="75" t="s">
        <v>46</v>
      </c>
      <c r="C14" s="75">
        <f t="shared" si="48"/>
        <v>0</v>
      </c>
      <c r="D14" s="75">
        <f t="shared" si="49"/>
        <v>0</v>
      </c>
      <c r="E14" s="75">
        <f t="shared" si="50"/>
        <v>0</v>
      </c>
      <c r="F14" s="75">
        <f>SUMIF($DV$3:$DV$60,B14,$DW$3:$DW$60)+SUMIF($DY$3:$DY$60,B14,$DX$3:$DX$60)</f>
        <v>0</v>
      </c>
      <c r="G14" s="75">
        <f>SUMIF($DY$3:$DY$60,B14,$DW$3:$DW$60)+SUMIF($DV$3:$DV$60,B14,$DX$3:$DX$60)</f>
        <v>0</v>
      </c>
      <c r="H14" s="75">
        <f t="shared" si="51"/>
        <v>1000</v>
      </c>
      <c r="I14" s="75">
        <f>SUMIF(Tournament!$H$13:$H$52,B14,Tournament!$O$13:$O$52)+SUMIF(Tournament!$N$13:$N$52,B14,Tournament!$Q$13:$Q$52)</f>
        <v>0</v>
      </c>
      <c r="J14" s="75">
        <f>SUMIF(Tournament!$N$13:$N$52,B14,Tournament!$O$13:$O$52)+SUMIF(Tournament!$H$13:$H$52,B14,Tournament!$Q$13:$Q$52)</f>
        <v>0</v>
      </c>
      <c r="K14" s="75">
        <f t="shared" si="52"/>
        <v>1000</v>
      </c>
      <c r="L14" s="75">
        <f t="shared" si="53"/>
        <v>0</v>
      </c>
      <c r="M14" s="75">
        <f>SUMIF(DV:DV,B14,EB:EB)+SUMIF(DY:DY,B14,EC:EC)</f>
        <v>4</v>
      </c>
      <c r="N14" s="75">
        <f>SUMIF(DV:DV,B14,ED:ED)+SUMIF(DY:DY,B14,EE:EE)</f>
        <v>0</v>
      </c>
      <c r="O14" s="75">
        <f t="shared" si="54"/>
        <v>4</v>
      </c>
      <c r="P14" s="75">
        <v>11</v>
      </c>
      <c r="Q14" s="75">
        <f t="shared" si="63"/>
        <v>1</v>
      </c>
      <c r="S14" s="75">
        <f>RANK(O14,$O$11:$O$15)+COUNTIF($O$11:O14,O14)-1</f>
        <v>4</v>
      </c>
      <c r="T14" s="75" t="str">
        <f>INDEX($B$11:$B$15,MATCH(4,$S$11:$S$15,0),0)</f>
        <v>Scotland</v>
      </c>
      <c r="U14" s="75">
        <f t="shared" si="64"/>
        <v>1</v>
      </c>
      <c r="V14" s="75" t="str">
        <f>IF(AND(V13&lt;&gt;"",U14=1),T14,"")</f>
        <v>Scotland</v>
      </c>
      <c r="W14" s="75" t="str">
        <f>IF(AND(W13&lt;&gt;"",U15=2),T15,"")</f>
        <v/>
      </c>
      <c r="AA14" s="75" t="str">
        <f t="shared" si="65"/>
        <v>Scotland</v>
      </c>
      <c r="AB14" s="75">
        <f>SUMPRODUCT((DV3:DV42=AA14)*(DY3:DY42=AA15)*(EF3:EF42="W"))+SUMPRODUCT((DV3:DV42=AA14)*(DY3:DY42=AA11)*(EF3:EF42="W"))+SUMPRODUCT((DV3:DV42=AA14)*(DY3:DY42=AA12)*(EF3:EF42="W"))+SUMPRODUCT((DV3:DV42=AA14)*(DY3:DY42=AA13)*(EF3:EF42="W"))+SUMPRODUCT((DV3:DV42=AA15)*(DY3:DY42=AA14)*(EG3:EG42="W"))+SUMPRODUCT((DV3:DV42=AA11)*(DY3:DY42=AA14)*(EG3:EG42="W"))+SUMPRODUCT((DV3:DV42=AA12)*(DY3:DY42=AA14)*(EG3:EG42="W"))+SUMPRODUCT((DV3:DV42=AA13)*(DY3:DY42=AA14)*(EG3:EG42="W"))</f>
        <v>0</v>
      </c>
      <c r="AC14" s="75">
        <f>SUMPRODUCT((DV3:DV42=AA14)*(DY3:DY42=AA15)*(EF3:EF42="D"))+SUMPRODUCT((DV3:DV42=AA14)*(DY3:DY42=AA11)*(EF3:EF42="D"))+SUMPRODUCT((DV3:DV42=AA14)*(DY3:DY42=AA12)*(EF3:EF42="D"))+SUMPRODUCT((DV3:DV42=AA14)*(DY3:DY42=AA13)*(EF3:EF42="D"))+SUMPRODUCT((DV3:DV42=AA15)*(DY3:DY42=AA14)*(EF3:EF42="D"))+SUMPRODUCT((DV3:DV42=AA11)*(DY3:DY42=AA14)*(EF3:EF42="D"))+SUMPRODUCT((DV3:DV42=AA12)*(DY3:DY42=AA14)*(EF3:EF42="D"))+SUMPRODUCT((DV3:DV42=AA13)*(DY3:DY42=AA14)*(EF3:EF42="D"))</f>
        <v>0</v>
      </c>
      <c r="AD14" s="75">
        <f>SUMPRODUCT((DV3:DV42=AA14)*(DY3:DY42=AA15)*(EF3:EF42="L"))+SUMPRODUCT((DV3:DV42=AA14)*(DY3:DY42=AA11)*(EF3:EF42="L"))+SUMPRODUCT((DV3:DV42=AA14)*(DY3:DY42=AA12)*(EF3:EF42="L"))+SUMPRODUCT((DV3:DV42=AA14)*(DY3:DY42=AA13)*(EF3:EF42="L"))+SUMPRODUCT((DV3:DV42=AA15)*(DY3:DY42=AA14)*(EG3:EG42="L"))+SUMPRODUCT((DV3:DV42=AA11)*(DY3:DY42=AA14)*(EG3:EG42="L"))+SUMPRODUCT((DV3:DV42=AA12)*(DY3:DY42=AA14)*(EG3:EG42="L"))+SUMPRODUCT((DV3:DV42=AA13)*(DY3:DY42=AA14)*(EG3:EG42="L"))</f>
        <v>0</v>
      </c>
      <c r="AE14" s="75">
        <f>IF(AA14&lt;&gt;"",VLOOKUP(AA14,B4:F29,5,FALSE),0)</f>
        <v>0</v>
      </c>
      <c r="AF14" s="75">
        <f>IF(AA14&lt;&gt;"",VLOOKUP(AA14,B4:G29,6,FALSE),0)</f>
        <v>0</v>
      </c>
      <c r="AG14" s="75">
        <f>AE14-AF14+1000</f>
        <v>1000</v>
      </c>
      <c r="AH14" s="75">
        <f>IF(AA14&lt;&gt;"",VLOOKUP(AA14,B4:I29,8,FALSE),0)</f>
        <v>0</v>
      </c>
      <c r="AI14" s="75">
        <f>IF(AA14&lt;&gt;"",VLOOKUP(AA14,B4:J29,9,FALSE),0)</f>
        <v>0</v>
      </c>
      <c r="AJ14" s="75">
        <f>IF(AA14&lt;&gt;"",AH14-AI14+1000,"")</f>
        <v>1000</v>
      </c>
      <c r="AK14" s="75">
        <f>IF(AA14&lt;&gt;"",VLOOKUP(AA14,B11:F15,5,FALSE),"")</f>
        <v>0</v>
      </c>
      <c r="AL14" s="75">
        <f>IF(AA14&lt;&gt;"",VLOOKUP(AA14,B11:I15,8,FALSE),"")</f>
        <v>0</v>
      </c>
      <c r="AM14" s="75">
        <f>IF(AA14&lt;&gt;"",VLOOKUP(AA14,B11:P15,15,FALSE),"")</f>
        <v>11</v>
      </c>
      <c r="AN14" s="75">
        <f>SUMPRODUCT((DV3:DV42=AA14)*(DY3:DY42=AA15)*EB3:EB42)+SUMPRODUCT((DV3:DV42=AA14)*(DY3:DY42=AA11)*EB3:EB42)+SUMPRODUCT((DV3:DV42=AA14)*(DY3:DY42=AA12)*EB3:EB42)+SUMPRODUCT((DV3:DV42=AA14)*(DY3:DY42=AA13)*EB3:EB42)+SUMPRODUCT((DV3:DV42=AA15)*(DY3:DY42=AA14)*EC3:EC42)+SUMPRODUCT((DV3:DV42=AA11)*(DY3:DY42=AA14)*EC3:EC42)+SUMPRODUCT((DV3:DV42=AA12)*(DY3:DY42=AA14)*EC3:EC42)+SUMPRODUCT((DV3:DV42=AA13)*(DY3:DY42=AA14)*EC3:EC42)</f>
        <v>4</v>
      </c>
      <c r="AO14" s="75">
        <f>SUMPRODUCT((DV3:DV42=AA14)*(DY3:DY42=AA15)*ED3:ED42)+SUMPRODUCT((DV3:DV42=AA14)*(DY3:DY42=AA11)*ED3:ED42)+SUMPRODUCT((DV3:DV42=AA14)*(DY3:DY42=AA12)*ED3:ED42)+SUMPRODUCT((DV3:DV42=AA14)*(DY3:DY42=AA13)*ED3:ED42)+SUMPRODUCT((DV3:DV42=AA15)*(DY3:DY42=AA14)*EE3:EE42)+SUMPRODUCT((DV3:DV42=AA11)*(DY3:DY42=AA14)*EE3:EE42)+SUMPRODUCT((DV3:DV42=AA12)*(DY3:DY42=AA14)*EE3:EE42)+SUMPRODUCT((DV3:DV42=AA13)*(DY3:DY42=AA14)*EE3:EE42)</f>
        <v>0</v>
      </c>
      <c r="AP14" s="75">
        <f>IF(AA14&lt;&gt;"",AB14*4+AC14*2+AN14+AO14,"")</f>
        <v>4</v>
      </c>
      <c r="AQ14" s="75">
        <f>IF(AA14&lt;&gt;"",RANK(AP14,AP11:AP15),"")</f>
        <v>1</v>
      </c>
      <c r="AR14" s="75">
        <f>SUMPRODUCT((AP11:AP15=AP14)*(AG11:AG15&gt;AG14))</f>
        <v>0</v>
      </c>
      <c r="AS14" s="75">
        <f>SUMPRODUCT((AP11:AP15=AP14)*(AG11:AG15=AG14)*(AJ11:AJ15&gt;AJ14))</f>
        <v>0</v>
      </c>
      <c r="AT14" s="75">
        <f>SUMPRODUCT((AP11:AP15=AP14)*(AG11:AG15=AG14)*(AJ11:AJ15=AJ14)*(AK11:AK15&gt;AK14))</f>
        <v>0</v>
      </c>
      <c r="AU14" s="75">
        <f>SUMPRODUCT((AP11:AP15=AP14)*(AG11:AG15=AG14)*(AJ11:AJ15=AJ14)*(AK11:AK15=AK14)*(AL11:AL15&gt;AL14))</f>
        <v>0</v>
      </c>
      <c r="AV14" s="75">
        <f>SUMPRODUCT((AP11:AP15=AP14)*(AG11:AG15=AG14)*(AJ11:AJ15=AJ14)*(AK11:AK15=AK14)*(AL11:AL15=AL14)*(AM11:AM15&gt;AM14))</f>
        <v>2</v>
      </c>
      <c r="AW14" s="75">
        <f t="shared" si="68"/>
        <v>3</v>
      </c>
      <c r="AX14" s="75" t="str">
        <f>IF(AA14&lt;&gt;"",INDEX(AA11:AA15,MATCH(4,AW11:AW15,0),0),"")</f>
        <v>Samoa</v>
      </c>
      <c r="AY14" s="75" t="str">
        <f>IF(W13&lt;&gt;"",W13,"")</f>
        <v/>
      </c>
      <c r="AZ14" s="75" t="str">
        <f>IF(AY14&lt;&gt;"",SUMPRODUCT((DV3:DV42=AY14)*(DY3:DY42=AY15)*(EF3:EF42="W"))+SUMPRODUCT((DV3:DV42=AY14)*(DY3:DY42=AY12)*(EF3:EF42="W"))+SUMPRODUCT((DV3:DV42=AY14)*(DY3:DY42=AY13)*(EF3:EF42="W"))+SUMPRODUCT((DV3:DV42=AY15)*(DY3:DY42=AY14)*(EG3:EG42="W"))+SUMPRODUCT((DV3:DV42=AY12)*(DY3:DY42=AY14)*(EG3:EG42="W"))+SUMPRODUCT((DV3:DV42=AY13)*(DY3:DY42=AY14)*(EG3:EG42="W")),"")</f>
        <v/>
      </c>
      <c r="BA14" s="75" t="str">
        <f>IF(AY14&lt;&gt;"",SUMPRODUCT((DV3:DV42=AY14)*(DY3:DY42=AY15)*(EF3:EF42="D"))+SUMPRODUCT((DV3:DV42=AY14)*(DY3:DY42=AY12)*(EF3:EF42="D"))+SUMPRODUCT((DV3:DV42=AY14)*(DY3:DY42=AY13)*(EF3:EF42="D"))+SUMPRODUCT((DV3:DV42=AY15)*(DY3:DY42=AY14)*(EF3:EF42="D"))+SUMPRODUCT((DV3:DV42=AY12)*(DY3:DY42=AY14)*(EF3:EF42="D"))+SUMPRODUCT((DV3:DV42=AY13)*(DY3:DY42=AY14)*(EF3:EF42="D")),"")</f>
        <v/>
      </c>
      <c r="BB14" s="75" t="str">
        <f>IF(AY14&lt;&gt;"",SUMPRODUCT((DV3:DV42=AY14)*(DY3:DY42=AY15)*(EF3:EF42="L"))+SUMPRODUCT((DV3:DV42=AY14)*(DY3:DY42=AY12)*(EF3:EF42="L"))+SUMPRODUCT((DV3:DV42=AY14)*(DY3:DY42=AY13)*(EF3:EF42="L"))+SUMPRODUCT((DV3:DV42=AY15)*(DY3:DY42=AY14)*(EG3:EG42="L"))+SUMPRODUCT((DV3:DV42=AY12)*(DY3:DY42=AY14)*(EG3:EG42="L"))+SUMPRODUCT((DV3:DV42=AY13)*(DY3:DY42=AY14)*(EG3:EG42="L")),"")</f>
        <v/>
      </c>
      <c r="BC14" s="75">
        <f>IF(AY14&lt;&gt;"",VLOOKUP(AY14,B4:F29,5,FALSE),0)</f>
        <v>0</v>
      </c>
      <c r="BD14" s="75">
        <f>IF(AY14&lt;&gt;"",VLOOKUP(AY14,B4:G29,6,FALSE),0)</f>
        <v>0</v>
      </c>
      <c r="BE14" s="75">
        <f>BC14-BD14+1000</f>
        <v>1000</v>
      </c>
      <c r="BF14" s="75">
        <f>IF(AY14&lt;&gt;"",VLOOKUP(AY14,B4:I29,8,FALSE),0)</f>
        <v>0</v>
      </c>
      <c r="BG14" s="75">
        <f>IF(AY14&lt;&gt;"",VLOOKUP(AY14,B4:J29,9,FALSE),0)</f>
        <v>0</v>
      </c>
      <c r="BH14" s="75" t="str">
        <f>IF(AY14&lt;&gt;"",BF14-BG14+1000,"")</f>
        <v/>
      </c>
      <c r="BI14" s="75" t="str">
        <f>IF(AY14&lt;&gt;"",VLOOKUP(AY14,B11:F15,5,FALSE),"")</f>
        <v/>
      </c>
      <c r="BJ14" s="75" t="str">
        <f>IF(AY14&lt;&gt;"",VLOOKUP(AY14,B11:I15,8,FALSE),"")</f>
        <v/>
      </c>
      <c r="BK14" s="75" t="str">
        <f>IF(AY14&lt;&gt;"",VLOOKUP(AY14,B11:P15,15,FALSE),"")</f>
        <v/>
      </c>
      <c r="BL14" s="75" t="str">
        <f>IF(AY14&lt;&gt;"",SUMPRODUCT((DV3:DV42=AY14)*(DY3:DY42=AY15)*EB3:EB42)+SUMPRODUCT((DV3:DV42=AY14)*(DY3:DY42=AY12)*EB3:EB42)+SUMPRODUCT((DV3:DV42=AY14)*(DY3:DY42=AY13)*EB3:EB42)+SUMPRODUCT((DV3:DV42=AY15)*(DY3:DY42=AY14)*EC3:EC42)+SUMPRODUCT((DV3:DV42=AY12)*(DY3:DY42=AY14)*EC3:EC42)+SUMPRODUCT((DV3:DV42=AY13)*(DY3:DY42=AY14)*EC3:EC42),"")</f>
        <v/>
      </c>
      <c r="BM14" s="75" t="str">
        <f>IF(AY14&lt;&gt;"",SUMPRODUCT((DV3:DV42=AY14)*(DY3:DY42=AY15)*ED3:ED42)+SUMPRODUCT((DV3:DV42=AY14)*(DY3:DY42=AY12)*ED3:ED42)+SUMPRODUCT((DV3:DV42=AY14)*(DY3:DY42=AY13)*ED3:ED42)+SUMPRODUCT((DV3:DV42=AY15)*(DY3:DY42=AY14)*EE3:EE42)+SUMPRODUCT((DV3:DV42=AY12)*(DY3:DY42=AY14)*EE3:EE42)+SUMPRODUCT((DV3:DV42=AY13)*(DY3:DY42=AY14)*EE3:EE42),"")</f>
        <v/>
      </c>
      <c r="BN14" s="75" t="str">
        <f>IF(AY14&lt;&gt;"",AZ14*4+BA14*2+BL14+BM14,"")</f>
        <v/>
      </c>
      <c r="BO14" s="75" t="str">
        <f>IF(AY14&lt;&gt;"",RANK(BN14,BN12:BN15),"")</f>
        <v/>
      </c>
      <c r="BP14" s="75">
        <f>SUMPRODUCT((BN12:BN15=BN14)*(BE12:BE15&gt;BE14))</f>
        <v>0</v>
      </c>
      <c r="BQ14" s="75">
        <f>SUMPRODUCT((BN12:BN15=BN14)*(BE12:BE15=BE14)*(BH12:BH15&gt;BH14))</f>
        <v>0</v>
      </c>
      <c r="BR14" s="75">
        <f>SUMPRODUCT((BN11:BN15=BN14)*(BE11:BE15=BE14)*(BH11:BH15=BH14)*(BI11:BI15&gt;BI14))</f>
        <v>0</v>
      </c>
      <c r="BS14" s="75">
        <f>SUMPRODUCT((BN11:BN15=BN14)*(BE11:BE15=BE14)*(BH11:BH15=BH14)*(BI11:BI15=BI14)*(BJ11:BJ15&gt;BJ14))</f>
        <v>0</v>
      </c>
      <c r="BT14" s="75">
        <f>SUMPRODUCT((BN11:BN15=BN14)*(BE11:BE15=BE14)*(BH11:BH15=BH14)*(BI11:BI15=BI14)*(BJ11:BJ15=BJ14)*(BK11:BK15&gt;BK14))</f>
        <v>0</v>
      </c>
      <c r="BU14" s="75" t="str">
        <f t="shared" si="69"/>
        <v/>
      </c>
      <c r="BV14" s="75" t="str">
        <f>IF(AY14&lt;&gt;"",INDEX(AY12:AY15,MATCH(4,BU12:BU15,0),0),"")</f>
        <v/>
      </c>
      <c r="BW14" s="75" t="str">
        <f>IF(X12&lt;&gt;"",X12,"")</f>
        <v/>
      </c>
      <c r="BX14" s="75">
        <f>SUMPRODUCT((DV3:DV42=BW14)*(DY3:DY42=BW15)*(EF3:EF42="W"))+SUMPRODUCT((DV3:DV42=BW14)*(DY3:DY42=BW16)*(EF3:EF42="W"))+SUMPRODUCT((DV3:DV42=BW14)*(DY3:DY42=BW13)*(EF3:EF42="W"))+SUMPRODUCT((DV3:DV42=BW15)*(DY3:DY42=BW14)*(EG3:EG42="W"))+SUMPRODUCT((DV3:DV42=BW16)*(DY3:DY42=BW14)*(EG3:EG42="W"))+SUMPRODUCT((DV3:DV42=BW13)*(DY3:DY42=BW14)*(EG3:EG42="W"))</f>
        <v>0</v>
      </c>
      <c r="BY14" s="75">
        <f>SUMPRODUCT((DV3:DV42=BW14)*(DY3:DY42=BW15)*(EF3:EF42="D"))+SUMPRODUCT((DV3:DV42=BW14)*(DY3:DY42=BW16)*(EF3:EF42="D"))+SUMPRODUCT((DV3:DV42=BW14)*(DY3:DY42=BW13)*(EF3:EF42="D"))+SUMPRODUCT((DV3:DV42=BW15)*(DY3:DY42=BW14)*(EF3:EF42="D"))+SUMPRODUCT((DV3:DV42=BW16)*(DY3:DY42=BW14)*(EF3:EF42="D"))+SUMPRODUCT((DV3:DV42=BW13)*(DY3:DY42=BW14)*(EF3:EF42="D"))</f>
        <v>0</v>
      </c>
      <c r="BZ14" s="75">
        <f>SUMPRODUCT((DV3:DV42=BW14)*(DY3:DY42=BW15)*(EF3:EF42="L"))+SUMPRODUCT((DV3:DV42=BW14)*(DY3:DY42=BW16)*(EF3:EF42="L"))+SUMPRODUCT((DV3:DV42=BW14)*(DY3:DY42=BW13)*(EF3:EF42="L"))+SUMPRODUCT((DV3:DV42=BW15)*(DY3:DY42=BW14)*(EG3:EG42="L"))+SUMPRODUCT((DV3:DV42=BW16)*(DY3:DY42=BW14)*(EG3:EG42="L"))+SUMPRODUCT((DV3:DV42=BW13)*(DY3:DY42=BW14)*(EG3:EG42="L"))</f>
        <v>0</v>
      </c>
      <c r="CA14" s="75">
        <f>IF(BW14&lt;&gt;"",VLOOKUP(BW14,B4:F29,5,FALSE),0)</f>
        <v>0</v>
      </c>
      <c r="CB14" s="75">
        <f>IF(BW14&lt;&gt;"",VLOOKUP(BW14,B4:G29,6,FALSE),0)</f>
        <v>0</v>
      </c>
      <c r="CC14" s="75">
        <f>CA14-CB14+1000</f>
        <v>1000</v>
      </c>
      <c r="CD14" s="75">
        <f>IF(BW14&lt;&gt;"",VLOOKUP(BW14,B4:I29,8,FALSE),0)</f>
        <v>0</v>
      </c>
      <c r="CE14" s="75">
        <f>IF(BW14&lt;&gt;"",VLOOKUP(BW14,B4:J29,9,FALSE),0)</f>
        <v>0</v>
      </c>
      <c r="CF14" s="75">
        <f t="shared" ref="CF14" si="84">CD14-CE14+1000</f>
        <v>1000</v>
      </c>
      <c r="CG14" s="75" t="str">
        <f>IF(BW14&lt;&gt;"",VLOOKUP(BW14,B11:F15,5,FALSE),"")</f>
        <v/>
      </c>
      <c r="CH14" s="75" t="str">
        <f>IF(BW14&lt;&gt;"",VLOOKUP(BW14,B11:I15,8,FALSE),"")</f>
        <v/>
      </c>
      <c r="CI14" s="75" t="str">
        <f>IF(BW14&lt;&gt;"",VLOOKUP(BW14,B11:P15,15,FALSE),"")</f>
        <v/>
      </c>
      <c r="CJ14" s="75">
        <f>SUMPRODUCT((DV3:DV42=BW14)*(DY3:DY42=BW15)*EB3:EB42)+SUMPRODUCT((DV3:DV42=BW14)*(DY3:DY42=BW16)*EB3:EB42)+SUMPRODUCT((DV3:DV42=BW14)*(DY3:DY42=BW13)*EB3:EB42)+SUMPRODUCT((DV3:DV42=BW15)*(DY3:DY42=BW14)*EC3:EC42)+SUMPRODUCT((DV3:DV42=BW16)*(DY3:DY42=BW14)*EC3:EC42)+SUMPRODUCT((DV3:DV42=BW13)*(DY3:DY42=BW14)*EC3:EC42)</f>
        <v>0</v>
      </c>
      <c r="CK14" s="75">
        <f>SUMPRODUCT((DV3:DV42=BW14)*(DY3:DY42=BW15)*ED3:ED42)+SUMPRODUCT((DV3:DV42=BW14)*(DY3:DY42=BW16)*ED3:ED42)+SUMPRODUCT((DV3:DV42=BW14)*(DY3:DY42=BW13)*ED3:ED42)+SUMPRODUCT((DV3:DV42=BW15)*(DY3:DY42=BW14)*EE3:EE42)+SUMPRODUCT((DV3:DV42=BW16)*(DY3:DY42=BW14)*EE3:EE42)+SUMPRODUCT((DV3:DV42=BW13)*(DY3:DY42=BW14)*EE3:EE42)</f>
        <v>0</v>
      </c>
      <c r="CL14" s="75">
        <f t="shared" ref="CL14" si="85">BX14*4+BY14*2+CJ14+CK14</f>
        <v>0</v>
      </c>
      <c r="CM14" s="75" t="str">
        <f>IF(BW14&lt;&gt;"",RANK(CL14,CL13:CL16),"")</f>
        <v/>
      </c>
      <c r="CN14" s="75">
        <f>SUMPRODUCT((CL13:CL16=CL14)*(CC13:CC16&gt;CC14))</f>
        <v>0</v>
      </c>
      <c r="CO14" s="75">
        <f>SUMPRODUCT((CL13:CL16=CL14)*(CC13:CC16=CC14)*(CF13:CF16&gt;CF14))</f>
        <v>0</v>
      </c>
      <c r="CP14" s="75">
        <f>SUMPRODUCT((CL11:CL15=CL14)*(CC11:CC15=CC14)*(CF11:CF15=CF14)*(CG11:CG15&gt;CG14))</f>
        <v>0</v>
      </c>
      <c r="CQ14" s="75">
        <f>SUMPRODUCT((CL11:CL15=CL14)*(CC11:CC15=CC14)*(CF11:CF15=CF14)*(CG11:CG15=CG14)*(CH11:CH15&gt;CH14))</f>
        <v>0</v>
      </c>
      <c r="CR14" s="75">
        <f>SUMPRODUCT((CL11:CL15=CL14)*(CC11:CC15=CC14)*(CF11:CF15=CF14)*(CG11:CG15=CG14)*(CH11:CH15=CH14)*(CI11:CI15&gt;CI14))</f>
        <v>0</v>
      </c>
      <c r="CS14" s="75" t="str">
        <f t="shared" si="81"/>
        <v/>
      </c>
      <c r="CT14" s="75" t="str">
        <f>IF(BW14&lt;&gt;"",INDEX(BW13:BW15,MATCH(4,CS13:CS15,0),0),"")</f>
        <v/>
      </c>
      <c r="CU14" s="75" t="str">
        <f>IF(Y11&lt;&gt;"",Y11,"")</f>
        <v/>
      </c>
      <c r="CV14" s="75">
        <f>SUMPRODUCT((DV3:DV42=CU14)*(DY3:DY42=CU15)*(EF3:EF42="W"))+SUMPRODUCT((DV3:DV42=CU14)*(DY3:DY42=CU16)*(EF3:EF42="W"))+SUMPRODUCT((DV3:DV42=CU14)*(DY3:DY42=CU17)*(EF3:EF42="W"))+SUMPRODUCT((DV3:DV42=CU15)*(DY3:DY42=CU14)*(EG3:EG42="W"))+SUMPRODUCT((DV3:DV42=CU16)*(DY3:DY42=CU14)*(EG3:EG42="W"))+SUMPRODUCT((DV3:DV42=CU17)*(DY3:DY42=CU14)*(EG3:EG42="W"))</f>
        <v>0</v>
      </c>
      <c r="CW14" s="75">
        <f>SUMPRODUCT((DV3:DV42=CU14)*(DY3:DY42=CU15)*(EF3:EF42="D"))+SUMPRODUCT((DV3:DV42=CU14)*(DY3:DY42=CU16)*(EF3:EF42="D"))+SUMPRODUCT((DV3:DV42=CU14)*(DY3:DY42=CU17)*(EF3:EF42="D"))+SUMPRODUCT((DV3:DV42=CU15)*(DY3:DY42=CU14)*(EF3:EF42="D"))+SUMPRODUCT((DV3:DV42=CU16)*(DY3:DY42=CU14)*(EF3:EF42="D"))+SUMPRODUCT((DV3:DV42=CU17)*(DY3:DY42=CU14)*(EF3:EF42="D"))</f>
        <v>0</v>
      </c>
      <c r="CX14" s="75">
        <f>SUMPRODUCT((DV3:DV42=CU14)*(DY3:DY42=CU15)*(EF3:EF42="L"))+SUMPRODUCT((DV3:DV42=CU14)*(DY3:DY42=CU16)*(EF3:EF42="L"))+SUMPRODUCT((DV3:DV42=CU14)*(DY3:DY42=CU17)*(EF3:EF42="L"))+SUMPRODUCT((DV3:DV42=CU15)*(DY3:DY42=CU14)*(EG3:EG42="L"))+SUMPRODUCT((DV3:DV42=CU16)*(DY3:DY42=CU14)*(EG3:EG42="L"))+SUMPRODUCT((DV3:DV42=CU17)*(DY3:DY42=CU14)*(EG3:EG42="L"))</f>
        <v>0</v>
      </c>
      <c r="CY14" s="75">
        <f>IF(CU14&lt;&gt;"",VLOOKUP(CU14,B4:F29,5,FALSE),0)</f>
        <v>0</v>
      </c>
      <c r="CZ14" s="75">
        <f>IF(CU14&lt;&gt;"",VLOOKUP(CU14,B4:G29,6,FALSE),0)</f>
        <v>0</v>
      </c>
      <c r="DA14" s="75">
        <f>CY14-CZ14+1000</f>
        <v>1000</v>
      </c>
      <c r="DB14" s="75">
        <f>IF(CU14&lt;&gt;"",VLOOKUP(CU14,B4:I29,8,FALSE),0)</f>
        <v>0</v>
      </c>
      <c r="DC14" s="75">
        <f>IF(CU14&lt;&gt;"",VLOOKUP(CU14,B4:J29,9,FALSE),0)</f>
        <v>0</v>
      </c>
      <c r="DD14" s="75">
        <f>DB14-DC14+1000</f>
        <v>1000</v>
      </c>
      <c r="DE14" s="75" t="str">
        <f>IF(CU14&lt;&gt;"",VLOOKUP(CU14,B11:F15,5,FALSE),"")</f>
        <v/>
      </c>
      <c r="DF14" s="75" t="str">
        <f>IF(CU14&lt;&gt;"",VLOOKUP(CU14,B11:I15,8,FALSE),"")</f>
        <v/>
      </c>
      <c r="DG14" s="75" t="str">
        <f>IF(CU14&lt;&gt;"",VLOOKUP(CU14,B11:P15,15,FALSE),"")</f>
        <v/>
      </c>
      <c r="DH14" s="75">
        <f>SUMPRODUCT((DV3:DV42=CU14)*(DY3:DY42=CU15)*EB3:EB42)+SUMPRODUCT((DV3:DV42=CU14)*(DY3:DY42=CU16)*EB3:EB42)+SUMPRODUCT((DV3:DV42=CU14)*(DY3:DY42=CU17)*EB3:EB42)+SUMPRODUCT((DV3:DV42=CU15)*(DY3:DY42=CU14)*EC3:EC42)+SUMPRODUCT((DV3:DV42=CU16)*(DY3:DY42=CU14)*EC3:EC42)+SUMPRODUCT((DV3:DV42=CU17)*(DY3:DY42=CU14)*EC3:EC42)</f>
        <v>0</v>
      </c>
      <c r="DI14" s="75">
        <f>SUMPRODUCT((DV3:DV42=CU14)*(DY3:DY42=CU15)*ED3:ED42)+SUMPRODUCT((DV3:DV42=CU14)*(DY3:DY42=CU16)*ED3:ED42)+SUMPRODUCT((DV3:DV42=CU14)*(DY3:DY42=CU17)*ED3:ED42)+SUMPRODUCT((DV3:DV42=CU15)*(DY3:DY42=CU14)*EE3:EE42)+SUMPRODUCT((DV3:DV42=CU16)*(DY3:DY42=CU14)*EE3:EE42)+SUMPRODUCT((DV3:DV42=CU17)*(DY3:DY42=CU14)*EE3:EE42)</f>
        <v>0</v>
      </c>
      <c r="DJ14" s="75">
        <f>CV14*4+CW14*2+DH14+DI14</f>
        <v>0</v>
      </c>
      <c r="DK14" s="75" t="str">
        <f>IF(CU14&lt;&gt;"",RANK(DJ14,DJ14:DJ17),"")</f>
        <v/>
      </c>
      <c r="DL14" s="75">
        <f>SUMPRODUCT((DJ14:DJ17=DJ14)*(DA14:DA17&gt;DA14))</f>
        <v>0</v>
      </c>
      <c r="DM14" s="75">
        <f>SUMPRODUCT((DJ14:DJ17=DJ14)*(DA14:DA17=DA14)*(DD14:DD17&gt;DD14))</f>
        <v>0</v>
      </c>
      <c r="DN14" s="75">
        <f>SUMPRODUCT((DJ11:DJ15=DJ14)*(DA11:DA15=DA14)*(DD11:DD15=DD14)*(DE11:DE15&gt;DE14))</f>
        <v>0</v>
      </c>
      <c r="DO14" s="75">
        <f>SUMPRODUCT((DJ11:DJ15=DJ14)*(DA11:DA15=DA14)*(DD11:DD15=DD14)*(DE11:DE15=DE14)*(DF11:DF15&gt;DF14))</f>
        <v>0</v>
      </c>
      <c r="DP14" s="75">
        <f>SUMPRODUCT((DJ11:DJ15=DJ14)*(DA11:DA15=DA14)*(DD11:DD15=DD14)*(DE11:DE15=DE14)*(DF11:DF15=DF14)*(DG11:DG15&gt;DG14))</f>
        <v>0</v>
      </c>
      <c r="DQ14" s="75" t="str">
        <f t="shared" ref="DQ14:DQ15" si="86">IF(CU14&lt;&gt;"",SUM(DK14:DP14)+3,"")</f>
        <v/>
      </c>
      <c r="DR14" s="75" t="str">
        <f>IF(CU14&lt;&gt;"",IF(DQ14=4,CU14,CU15),"")</f>
        <v/>
      </c>
      <c r="DS14" s="75" t="str">
        <f>IF(DR14&lt;&gt;"",DR14,IF(CT14&lt;&gt;"",CT14,IF(BV14&lt;&gt;"",BV14,IF(AX14&lt;&gt;"",AX14,T14))))</f>
        <v>Samoa</v>
      </c>
      <c r="DT14" s="75">
        <v>4</v>
      </c>
      <c r="DU14" s="75">
        <v>12</v>
      </c>
      <c r="DV14" s="75" t="str">
        <f>Tournament!H24</f>
        <v>New Zealand</v>
      </c>
      <c r="DW14" s="75">
        <f>IF(AND(Tournament!J24&lt;&gt;"",Tournament!L24&lt;&gt;""),Tournament!J24,0)</f>
        <v>0</v>
      </c>
      <c r="DX14" s="75">
        <f>IF(AND(Tournament!L24&lt;&gt;"",Tournament!J24&lt;&gt;""),Tournament!L24,0)</f>
        <v>0</v>
      </c>
      <c r="DY14" s="75" t="str">
        <f>Tournament!N24</f>
        <v>Namibia</v>
      </c>
      <c r="DZ14" s="75">
        <f>IF(Tournament!O24&lt;&gt;"",Tournament!O24,0)</f>
        <v>0</v>
      </c>
      <c r="EA14" s="75">
        <f>IF(Tournament!Q24&lt;&gt;"",Tournament!Q24,0)</f>
        <v>0</v>
      </c>
      <c r="EB14" s="75">
        <f>IF(DW14&lt;&gt;"",IF(Tournament!O24&gt;3,1,0),0)</f>
        <v>1</v>
      </c>
      <c r="EC14" s="75">
        <f>IF(DX14&lt;&gt;"",IF(Tournament!Q24&gt;3,1,0),0)</f>
        <v>1</v>
      </c>
      <c r="ED14" s="75">
        <f t="shared" si="1"/>
        <v>0</v>
      </c>
      <c r="EE14" s="75">
        <f t="shared" si="2"/>
        <v>0</v>
      </c>
      <c r="EF14" s="75" t="str">
        <f>IF(AND(Tournament!J24&lt;&gt;"",Tournament!L24&lt;&gt;""),IF(DW14&gt;DX14,"W",IF(DW14=DX14,"D","L")),"")</f>
        <v/>
      </c>
      <c r="EG14" s="75" t="str">
        <f t="shared" si="3"/>
        <v/>
      </c>
      <c r="EH14" s="75">
        <f ca="1">VLOOKUP(EI14,IZ11:JA15,2,FALSE)</f>
        <v>3</v>
      </c>
      <c r="EI14" s="75" t="s">
        <v>46</v>
      </c>
      <c r="EJ14" s="75">
        <f t="shared" ca="1" si="55"/>
        <v>0</v>
      </c>
      <c r="EK14" s="75">
        <f t="shared" ca="1" si="56"/>
        <v>0</v>
      </c>
      <c r="EL14" s="75">
        <f t="shared" ca="1" si="57"/>
        <v>0</v>
      </c>
      <c r="EM14" s="75">
        <f t="shared" ca="1" si="58"/>
        <v>0</v>
      </c>
      <c r="EN14" s="75">
        <f t="shared" ca="1" si="70"/>
        <v>0</v>
      </c>
      <c r="EO14" s="75">
        <f t="shared" ca="1" si="59"/>
        <v>1000</v>
      </c>
      <c r="EP14" s="75">
        <f t="shared" ca="1" si="71"/>
        <v>0</v>
      </c>
      <c r="EQ14" s="75">
        <f t="shared" ca="1" si="72"/>
        <v>0</v>
      </c>
      <c r="ER14" s="75">
        <f t="shared" ca="1" si="60"/>
        <v>1000</v>
      </c>
      <c r="ES14" s="75">
        <f t="shared" ca="1" si="61"/>
        <v>0</v>
      </c>
      <c r="ET14" s="75">
        <f ca="1">SUMIF(JC:JC,EI14,JI:JI)+SUMIF(JF:JF,EI14,JJ:JJ)</f>
        <v>0</v>
      </c>
      <c r="EU14" s="75">
        <f ca="1">SUMIF(JC:JC,EI14,JK:JK)+SUMIF(JF:JF,EI14,JL:JL)</f>
        <v>0</v>
      </c>
      <c r="EV14" s="75">
        <f t="shared" ca="1" si="62"/>
        <v>0</v>
      </c>
      <c r="EW14" s="75">
        <v>11</v>
      </c>
      <c r="EX14" s="75">
        <f t="shared" ca="1" si="73"/>
        <v>1</v>
      </c>
      <c r="EZ14" s="75">
        <f ca="1">RANK(EV14,EV$11:EV$15)+COUNTIF(EV$11:EV14,EV14)-1</f>
        <v>4</v>
      </c>
      <c r="FA14" s="75" t="str">
        <f ca="1">INDEX(EI$11:EI$15,MATCH(4,EZ$11:EZ$15,0),0)</f>
        <v>Scotland</v>
      </c>
      <c r="FB14" s="75">
        <f t="shared" ca="1" si="74"/>
        <v>1</v>
      </c>
      <c r="FC14" s="75" t="str">
        <f ca="1">IF(AND(FC13&lt;&gt;"",FB14=1),FA14,"")</f>
        <v>Scotland</v>
      </c>
      <c r="FD14" s="75" t="str">
        <f ca="1">IF(AND(FD13&lt;&gt;"",FB15=2),FA15,"")</f>
        <v/>
      </c>
      <c r="FH14" s="75" t="str">
        <f t="shared" ca="1" si="75"/>
        <v>Scotland</v>
      </c>
      <c r="FI14" s="75">
        <f ca="1">SUMPRODUCT((JC3:JC42=FH14)*(JF3:JF42=FH15)*(JM3:JM42="W"))+SUMPRODUCT((JC3:JC42=FH14)*(JF3:JF42=FH11)*(JM3:JM42="W"))+SUMPRODUCT((JC3:JC42=FH14)*(JF3:JF42=FH12)*(JM3:JM42="W"))+SUMPRODUCT((JC3:JC42=FH14)*(JF3:JF42=FH13)*(JM3:JM42="W"))+SUMPRODUCT((JC3:JC42=FH15)*(JF3:JF42=FH14)*(JN3:JN42="W"))+SUMPRODUCT((JC3:JC42=FH11)*(JF3:JF42=FH14)*(JN3:JN42="W"))+SUMPRODUCT((JC3:JC42=FH12)*(JF3:JF42=FH14)*(JN3:JN42="W"))+SUMPRODUCT((JC3:JC42=FH13)*(JF3:JF42=FH14)*(JN3:JN42="W"))</f>
        <v>0</v>
      </c>
      <c r="FJ14" s="75">
        <f ca="1">SUMPRODUCT((JC3:JC42=FH14)*(JF3:JF42=FH15)*(JM3:JM42="D"))+SUMPRODUCT((JC3:JC42=FH14)*(JF3:JF42=FH11)*(JM3:JM42="D"))+SUMPRODUCT((JC3:JC42=FH14)*(JF3:JF42=FH12)*(JM3:JM42="D"))+SUMPRODUCT((JC3:JC42=FH14)*(JF3:JF42=FH13)*(JM3:JM42="D"))+SUMPRODUCT((JC3:JC42=FH15)*(JF3:JF42=FH14)*(JM3:JM42="D"))+SUMPRODUCT((JC3:JC42=FH11)*(JF3:JF42=FH14)*(JM3:JM42="D"))+SUMPRODUCT((JC3:JC42=FH12)*(JF3:JF42=FH14)*(JM3:JM42="D"))+SUMPRODUCT((JC3:JC42=FH13)*(JF3:JF42=FH14)*(JM3:JM42="D"))</f>
        <v>0</v>
      </c>
      <c r="FK14" s="75">
        <f ca="1">SUMPRODUCT((JC3:JC42=FH14)*(JF3:JF42=FH15)*(JM3:JM42="L"))+SUMPRODUCT((JC3:JC42=FH14)*(JF3:JF42=FH11)*(JM3:JM42="L"))+SUMPRODUCT((JC3:JC42=FH14)*(JF3:JF42=FH12)*(JM3:JM42="L"))+SUMPRODUCT((JC3:JC42=FH14)*(JF3:JF42=FH13)*(JM3:JM42="L"))+SUMPRODUCT((JC3:JC42=FH15)*(JF3:JF42=FH14)*(JN3:JN42="L"))+SUMPRODUCT((JC3:JC42=FH11)*(JF3:JF42=FH14)*(JN3:JN42="L"))+SUMPRODUCT((JC3:JC42=FH12)*(JF3:JF42=FH14)*(JN3:JN42="L"))+SUMPRODUCT((JC3:JC42=FH13)*(JF3:JF42=FH14)*(JN3:JN42="L"))</f>
        <v>0</v>
      </c>
      <c r="FL14" s="75">
        <f ca="1">IF(FH14&lt;&gt;"",VLOOKUP(FH14,EI4:EM29,5,FALSE),0)</f>
        <v>0</v>
      </c>
      <c r="FM14" s="75">
        <f ca="1">IF(FH14&lt;&gt;"",VLOOKUP(FH14,EI4:EN29,6,FALSE),0)</f>
        <v>0</v>
      </c>
      <c r="FN14" s="75">
        <f ca="1">FL14-FM14+1000</f>
        <v>1000</v>
      </c>
      <c r="FO14" s="75">
        <f ca="1">IF(FH14&lt;&gt;"",VLOOKUP(FH14,EI4:EP29,8,FALSE),0)</f>
        <v>0</v>
      </c>
      <c r="FP14" s="75">
        <f ca="1">IF(FH14&lt;&gt;"",VLOOKUP(FH14,EI4:EQ29,9,FALSE),0)</f>
        <v>0</v>
      </c>
      <c r="FQ14" s="75">
        <f ca="1">IF(FH14&lt;&gt;"",FO14-FP14+1000,"")</f>
        <v>1000</v>
      </c>
      <c r="FR14" s="75">
        <f ca="1">IF(FH14&lt;&gt;"",VLOOKUP(FH14,EI11:EM15,5,FALSE),"")</f>
        <v>0</v>
      </c>
      <c r="FS14" s="75">
        <f ca="1">IF(FH14&lt;&gt;"",VLOOKUP(FH14,EI11:EP15,8,FALSE),"")</f>
        <v>0</v>
      </c>
      <c r="FT14" s="75">
        <f ca="1">IF(FH14&lt;&gt;"",VLOOKUP(FH14,EI11:EW15,15,FALSE),"")</f>
        <v>11</v>
      </c>
      <c r="FU14" s="75">
        <f ca="1">SUMPRODUCT((JC3:JC42=FH14)*(JF3:JF42=FH15)*JI3:JI42)+SUMPRODUCT((JC3:JC42=FH14)*(JF3:JF42=FH11)*JI3:JI42)+SUMPRODUCT((JC3:JC42=FH14)*(JF3:JF42=FH12)*JI3:JI42)+SUMPRODUCT((JC3:JC42=FH14)*(JF3:JF42=FH13)*JI3:JI42)+SUMPRODUCT((JC3:JC42=FH15)*(JF3:JF42=FH14)*JJ3:JJ42)+SUMPRODUCT((JC3:JC42=FH11)*(JF3:JF42=FH14)*JJ3:JJ42)+SUMPRODUCT((JC3:JC42=FH12)*(JF3:JF42=FH14)*JJ3:JJ42)+SUMPRODUCT((JC3:JC42=FH13)*(JF3:JF42=FH14)*JJ3:JJ42)</f>
        <v>0</v>
      </c>
      <c r="FV14" s="75">
        <f ca="1">SUMPRODUCT((JC3:JC42=FH14)*(JF3:JF42=FH15)*JK3:JK42)+SUMPRODUCT((JC3:JC42=FH14)*(JF3:JF42=FH11)*JK3:JK42)+SUMPRODUCT((JC3:JC42=FH14)*(JF3:JF42=FH12)*JK3:JK42)+SUMPRODUCT((JC3:JC42=FH14)*(JF3:JF42=FH13)*JK3:JK42)+SUMPRODUCT((JC3:JC42=FH15)*(JF3:JF42=FH14)*JL3:JL42)+SUMPRODUCT((JC3:JC42=FH11)*(JF3:JF42=FH14)*JL3:JL42)+SUMPRODUCT((JC3:JC42=FH12)*(JF3:JF42=FH14)*JL3:JL42)+SUMPRODUCT((JC3:JC42=FH13)*(JF3:JF42=FH14)*JL3:JL42)</f>
        <v>0</v>
      </c>
      <c r="FW14" s="75">
        <f ca="1">IF(FH14&lt;&gt;"",FI14*4+FJ14*2+FU14+FV14,"")</f>
        <v>0</v>
      </c>
      <c r="FX14" s="75">
        <f ca="1">IF(FH14&lt;&gt;"",RANK(FW14,FW11:FW15),"")</f>
        <v>1</v>
      </c>
      <c r="FY14" s="75">
        <f ca="1">SUMPRODUCT((FW11:FW15=FW14)*(FN11:FN15&gt;FN14))</f>
        <v>0</v>
      </c>
      <c r="FZ14" s="75">
        <f ca="1">SUMPRODUCT((FW11:FW15=FW14)*(FN11:FN15=FN14)*(FQ11:FQ15&gt;FQ14))</f>
        <v>0</v>
      </c>
      <c r="GA14" s="75">
        <f ca="1">SUMPRODUCT((FW11:FW15=FW14)*(FN11:FN15=FN14)*(FQ11:FQ15=FQ14)*(FR11:FR15&gt;FR14))</f>
        <v>0</v>
      </c>
      <c r="GB14" s="75">
        <f ca="1">SUMPRODUCT((FW11:FW15=FW14)*(FN11:FN15=FN14)*(FQ11:FQ15=FQ14)*(FR11:FR15=FR14)*(FS11:FS15&gt;FS14))</f>
        <v>0</v>
      </c>
      <c r="GC14" s="75">
        <f ca="1">SUMPRODUCT((FW11:FW15=FW14)*(FN11:FN15=FN14)*(FQ11:FQ15=FQ14)*(FR11:FR15=FR14)*(FS11:FS15=FS14)*(FT11:FT15&gt;FT14))</f>
        <v>2</v>
      </c>
      <c r="GD14" s="75">
        <f t="shared" ca="1" si="78"/>
        <v>3</v>
      </c>
      <c r="GE14" s="75" t="str">
        <f ca="1">IF(FH14&lt;&gt;"",INDEX(FH11:FH15,MATCH(4,GD11:GD15,0),0),"")</f>
        <v>Samoa</v>
      </c>
      <c r="GF14" s="75" t="str">
        <f ca="1">IF(FD13&lt;&gt;"",FD13,"")</f>
        <v/>
      </c>
      <c r="GG14" s="75" t="str">
        <f ca="1">IF(GF14&lt;&gt;"",SUMPRODUCT((JC3:JC42=GF14)*(JF3:JF42=GF15)*(JM3:JM42="W"))+SUMPRODUCT((JC3:JC42=GF14)*(JF3:JF42=GF12)*(JM3:JM42="W"))+SUMPRODUCT((JC3:JC42=GF14)*(JF3:JF42=GF13)*(JM3:JM42="W"))+SUMPRODUCT((JC3:JC42=GF15)*(JF3:JF42=GF14)*(JN3:JN42="W"))+SUMPRODUCT((JC3:JC42=GF12)*(JF3:JF42=GF14)*(JN3:JN42="W"))+SUMPRODUCT((JC3:JC42=GF13)*(JF3:JF42=GF14)*(JN3:JN42="W")),"")</f>
        <v/>
      </c>
      <c r="GH14" s="75" t="str">
        <f ca="1">IF(GF14&lt;&gt;"",SUMPRODUCT((JC3:JC42=GF14)*(JF3:JF42=GF15)*(JM3:JM42="D"))+SUMPRODUCT((JC3:JC42=GF14)*(JF3:JF42=GF12)*(JM3:JM42="D"))+SUMPRODUCT((JC3:JC42=GF14)*(JF3:JF42=GF13)*(JM3:JM42="D"))+SUMPRODUCT((JC3:JC42=GF15)*(JF3:JF42=GF14)*(JM3:JM42="D"))+SUMPRODUCT((JC3:JC42=GF12)*(JF3:JF42=GF14)*(JM3:JM42="D"))+SUMPRODUCT((JC3:JC42=GF13)*(JF3:JF42=GF14)*(JM3:JM42="D")),"")</f>
        <v/>
      </c>
      <c r="GI14" s="75" t="str">
        <f ca="1">IF(GF14&lt;&gt;"",SUMPRODUCT((JC3:JC42=GF14)*(JF3:JF42=GF15)*(JM3:JM42="L"))+SUMPRODUCT((JC3:JC42=GF14)*(JF3:JF42=GF12)*(JM3:JM42="L"))+SUMPRODUCT((JC3:JC42=GF14)*(JF3:JF42=GF13)*(JM3:JM42="L"))+SUMPRODUCT((JC3:JC42=GF15)*(JF3:JF42=GF14)*(JN3:JN42="L"))+SUMPRODUCT((JC3:JC42=GF12)*(JF3:JF42=GF14)*(JN3:JN42="L"))+SUMPRODUCT((JC3:JC42=GF13)*(JF3:JF42=GF14)*(JN3:JN42="L")),"")</f>
        <v/>
      </c>
      <c r="GJ14" s="75">
        <f ca="1">IF(GF14&lt;&gt;"",VLOOKUP(GF14,EI4:EM29,5,FALSE),0)</f>
        <v>0</v>
      </c>
      <c r="GK14" s="75">
        <f ca="1">IF(GF14&lt;&gt;"",VLOOKUP(GF14,EI4:EN29,6,FALSE),0)</f>
        <v>0</v>
      </c>
      <c r="GL14" s="75">
        <f ca="1">GJ14-GK14+1000</f>
        <v>1000</v>
      </c>
      <c r="GM14" s="75">
        <f ca="1">IF(GF14&lt;&gt;"",VLOOKUP(GF14,EI4:EP29,8,FALSE),0)</f>
        <v>0</v>
      </c>
      <c r="GN14" s="75">
        <f ca="1">IF(GF14&lt;&gt;"",VLOOKUP(GF14,EI4:EQ29,9,FALSE),0)</f>
        <v>0</v>
      </c>
      <c r="GO14" s="75" t="str">
        <f ca="1">IF(GF14&lt;&gt;"",GM14-GN14+1000,"")</f>
        <v/>
      </c>
      <c r="GP14" s="75" t="str">
        <f ca="1">IF(GF14&lt;&gt;"",VLOOKUP(GF14,EI11:EM15,5,FALSE),"")</f>
        <v/>
      </c>
      <c r="GQ14" s="75" t="str">
        <f ca="1">IF(GF14&lt;&gt;"",VLOOKUP(GF14,EI11:EP15,8,FALSE),"")</f>
        <v/>
      </c>
      <c r="GR14" s="75" t="str">
        <f ca="1">IF(GF14&lt;&gt;"",VLOOKUP(GF14,EI11:EW15,15,FALSE),"")</f>
        <v/>
      </c>
      <c r="GS14" s="75" t="str">
        <f ca="1">IF(GF14&lt;&gt;"",SUMPRODUCT((JC3:JC42=GF14)*(JF3:JF42=GF15)*JI3:JI42)+SUMPRODUCT((JC3:JC42=GF14)*(JF3:JF42=GF12)*JI3:JI42)+SUMPRODUCT((JC3:JC42=GF14)*(JF3:JF42=GF13)*JI3:JI42)+SUMPRODUCT((JC3:JC42=GF15)*(JF3:JF42=GF14)*JJ3:JJ42)+SUMPRODUCT((JC3:JC42=GF12)*(JF3:JF42=GF14)*JJ3:JJ42)+SUMPRODUCT((JC3:JC42=GF13)*(JF3:JF42=GF14)*JJ3:JJ42),"")</f>
        <v/>
      </c>
      <c r="GT14" s="75" t="str">
        <f ca="1">IF(GF14&lt;&gt;"",SUMPRODUCT((JC3:JC42=GF14)*(JF3:JF42=GF15)*JK3:JK42)+SUMPRODUCT((JC3:JC42=GF14)*(JF3:JF42=GF12)*JK3:JK42)+SUMPRODUCT((JC3:JC42=GF14)*(JF3:JF42=GF13)*JK3:JK42)+SUMPRODUCT((JC3:JC42=GF15)*(JF3:JF42=GF14)*JL3:JL42)+SUMPRODUCT((JC3:JC42=GF12)*(JF3:JF42=GF14)*JL3:JL42)+SUMPRODUCT((JC3:JC42=GF13)*(JF3:JF42=GF14)*JL3:JL42),"")</f>
        <v/>
      </c>
      <c r="GU14" s="75" t="str">
        <f ca="1">IF(GF14&lt;&gt;"",GG14*4+GH14*2+GS14+GT14,"")</f>
        <v/>
      </c>
      <c r="GV14" s="75" t="str">
        <f ca="1">IF(GF14&lt;&gt;"",RANK(GU14,GU12:GU15),"")</f>
        <v/>
      </c>
      <c r="GW14" s="75">
        <f ca="1">SUMPRODUCT((GU12:GU15=GU14)*(GL12:GL15&gt;GL14))</f>
        <v>0</v>
      </c>
      <c r="GX14" s="75">
        <f ca="1">SUMPRODUCT((GU12:GU15=GU14)*(GL12:GL15=GL14)*(GO12:GO15&gt;GO14))</f>
        <v>0</v>
      </c>
      <c r="GY14" s="75">
        <f ca="1">SUMPRODUCT((GU11:GU15=GU14)*(GL11:GL15=GL14)*(GO11:GO15=GO14)*(GP11:GP15&gt;GP14))</f>
        <v>0</v>
      </c>
      <c r="GZ14" s="75">
        <f ca="1">SUMPRODUCT((GU11:GU15=GU14)*(GL11:GL15=GL14)*(GO11:GO15=GO14)*(GP11:GP15=GP14)*(GQ11:GQ15&gt;GQ14))</f>
        <v>0</v>
      </c>
      <c r="HA14" s="75">
        <f ca="1">SUMPRODUCT((GU11:GU15=GU14)*(GL11:GL15=GL14)*(GO11:GO15=GO14)*(GP11:GP15=GP14)*(GQ11:GQ15=GQ14)*(GR11:GR15&gt;GR14))</f>
        <v>0</v>
      </c>
      <c r="HB14" s="75" t="str">
        <f t="shared" ca="1" si="79"/>
        <v/>
      </c>
      <c r="HC14" s="75" t="str">
        <f ca="1">IF(GF14&lt;&gt;"",INDEX(GF12:GF15,MATCH(4,HB12:HB15,0),0),"")</f>
        <v/>
      </c>
      <c r="HD14" s="75" t="str">
        <f ca="1">IF(FE12&lt;&gt;"",FE12,"")</f>
        <v/>
      </c>
      <c r="HE14" s="75">
        <f ca="1">SUMPRODUCT((JC3:JC42=HD14)*(JF3:JF42=HD15)*(JM3:JM42="W"))+SUMPRODUCT((JC3:JC42=HD14)*(JF3:JF42=HD16)*(JM3:JM42="W"))+SUMPRODUCT((JC3:JC42=HD14)*(JF3:JF42=HD13)*(JM3:JM42="W"))+SUMPRODUCT((JC3:JC42=HD15)*(JF3:JF42=HD14)*(JN3:JN42="W"))+SUMPRODUCT((JC3:JC42=HD16)*(JF3:JF42=HD14)*(JN3:JN42="W"))+SUMPRODUCT((JC3:JC42=HD13)*(JF3:JF42=HD14)*(JN3:JN42="W"))</f>
        <v>0</v>
      </c>
      <c r="HF14" s="75">
        <f ca="1">SUMPRODUCT((JC3:JC42=HD14)*(JF3:JF42=HD15)*(JM3:JM42="D"))+SUMPRODUCT((JC3:JC42=HD14)*(JF3:JF42=HD16)*(JM3:JM42="D"))+SUMPRODUCT((JC3:JC42=HD14)*(JF3:JF42=HD13)*(JM3:JM42="D"))+SUMPRODUCT((JC3:JC42=HD15)*(JF3:JF42=HD14)*(JM3:JM42="D"))+SUMPRODUCT((JC3:JC42=HD16)*(JF3:JF42=HD14)*(JM3:JM42="D"))+SUMPRODUCT((JC3:JC42=HD13)*(JF3:JF42=HD14)*(JM3:JM42="D"))</f>
        <v>0</v>
      </c>
      <c r="HG14" s="75">
        <f ca="1">SUMPRODUCT((JC3:JC42=HD14)*(JF3:JF42=HD15)*(JM3:JM42="L"))+SUMPRODUCT((JC3:JC42=HD14)*(JF3:JF42=HD16)*(JM3:JM42="L"))+SUMPRODUCT((JC3:JC42=HD14)*(JF3:JF42=HD13)*(JM3:JM42="L"))+SUMPRODUCT((JC3:JC42=HD15)*(JF3:JF42=HD14)*(JN3:JN42="L"))+SUMPRODUCT((JC3:JC42=HD16)*(JF3:JF42=HD14)*(JN3:JN42="L"))+SUMPRODUCT((JC3:JC42=HD13)*(JF3:JF42=HD14)*(JN3:JN42="L"))</f>
        <v>0</v>
      </c>
      <c r="HH14" s="75">
        <f ca="1">IF(HD14&lt;&gt;"",VLOOKUP(HD14,EI4:EM29,5,FALSE),0)</f>
        <v>0</v>
      </c>
      <c r="HI14" s="75">
        <f ca="1">IF(HD14&lt;&gt;"",VLOOKUP(HD14,EI4:EN29,6,FALSE),0)</f>
        <v>0</v>
      </c>
      <c r="HJ14" s="75">
        <f ca="1">HH14-HI14+1000</f>
        <v>1000</v>
      </c>
      <c r="HK14" s="75">
        <f ca="1">IF(HD14&lt;&gt;"",VLOOKUP(HD14,EI4:EP29,8,FALSE),0)</f>
        <v>0</v>
      </c>
      <c r="HL14" s="75">
        <f ca="1">IF(HD14&lt;&gt;"",VLOOKUP(HD14,EI4:EQ29,9,FALSE),0)</f>
        <v>0</v>
      </c>
      <c r="HM14" s="75">
        <f t="shared" ref="HM14" ca="1" si="87">HK14-HL14+1000</f>
        <v>1000</v>
      </c>
      <c r="HN14" s="75" t="str">
        <f ca="1">IF(HD14&lt;&gt;"",VLOOKUP(HD14,EI11:EM15,5,FALSE),"")</f>
        <v/>
      </c>
      <c r="HO14" s="75" t="str">
        <f ca="1">IF(HD14&lt;&gt;"",VLOOKUP(HD14,EI11:EP15,8,FALSE),"")</f>
        <v/>
      </c>
      <c r="HP14" s="75" t="str">
        <f ca="1">IF(HD14&lt;&gt;"",VLOOKUP(HD14,EI11:EW15,15,FALSE),"")</f>
        <v/>
      </c>
      <c r="HQ14" s="75">
        <f ca="1">SUMPRODUCT((JC3:JC42=HD14)*(JF3:JF42=HD15)*JI3:JI42)+SUMPRODUCT((JC3:JC42=HD14)*(JF3:JF42=HD16)*JI3:JI42)+SUMPRODUCT((JC3:JC42=HD14)*(JF3:JF42=HD13)*JI3:JI42)+SUMPRODUCT((JC3:JC42=HD15)*(JF3:JF42=HD14)*JJ3:JJ42)+SUMPRODUCT((JC3:JC42=HD16)*(JF3:JF42=HD14)*JJ3:JJ42)+SUMPRODUCT((JC3:JC42=HD13)*(JF3:JF42=HD14)*JJ3:JJ42)</f>
        <v>0</v>
      </c>
      <c r="HR14" s="75">
        <f ca="1">SUMPRODUCT((JC3:JC42=HD14)*(JF3:JF42=HD15)*JK3:JK42)+SUMPRODUCT((JC3:JC42=HD14)*(JF3:JF42=HD16)*JK3:JK42)+SUMPRODUCT((JC3:JC42=HD14)*(JF3:JF42=HD13)*JK3:JK42)+SUMPRODUCT((JC3:JC42=HD15)*(JF3:JF42=HD14)*JL3:JL42)+SUMPRODUCT((JC3:JC42=HD16)*(JF3:JF42=HD14)*JL3:JL42)+SUMPRODUCT((JC3:JC42=HD13)*(JF3:JF42=HD14)*JL3:JL42)</f>
        <v>0</v>
      </c>
      <c r="HS14" s="75">
        <f t="shared" ref="HS14" ca="1" si="88">HE14*4+HF14*2+HQ14+HR14</f>
        <v>0</v>
      </c>
      <c r="HT14" s="75" t="str">
        <f ca="1">IF(HD14&lt;&gt;"",RANK(HS14,HS13:HS16),"")</f>
        <v/>
      </c>
      <c r="HU14" s="75">
        <f ca="1">SUMPRODUCT((HS13:HS16=HS14)*(HJ13:HJ16&gt;HJ14))</f>
        <v>0</v>
      </c>
      <c r="HV14" s="75">
        <f ca="1">SUMPRODUCT((HS13:HS16=HS14)*(HJ13:HJ16=HJ14)*(HM13:HM16&gt;HM14))</f>
        <v>0</v>
      </c>
      <c r="HW14" s="75">
        <f ca="1">SUMPRODUCT((HS11:HS15=HS14)*(HJ11:HJ15=HJ14)*(HM11:HM15=HM14)*(HN11:HN15&gt;HN14))</f>
        <v>0</v>
      </c>
      <c r="HX14" s="75">
        <f ca="1">SUMPRODUCT((HS11:HS15=HS14)*(HJ11:HJ15=HJ14)*(HM11:HM15=HM14)*(HN11:HN15=HN14)*(HO11:HO15&gt;HO14))</f>
        <v>0</v>
      </c>
      <c r="HY14" s="75">
        <f ca="1">SUMPRODUCT((HS11:HS15=HS14)*(HJ11:HJ15=HJ14)*(HM11:HM15=HM14)*(HN11:HN15=HN14)*(HO11:HO15=HO14)*(HP11:HP15&gt;HP14))</f>
        <v>0</v>
      </c>
      <c r="HZ14" s="75" t="str">
        <f t="shared" ca="1" si="83"/>
        <v/>
      </c>
      <c r="IA14" s="75" t="str">
        <f ca="1">IF(HD14&lt;&gt;"",INDEX(HD13:HD15,MATCH(4,HZ13:HZ15,0),0),"")</f>
        <v/>
      </c>
      <c r="IB14" s="75" t="str">
        <f ca="1">IF(FF11&lt;&gt;"",FF11,"")</f>
        <v/>
      </c>
      <c r="IC14" s="75">
        <f ca="1">SUMPRODUCT((JC3:JC42=IB14)*(JF3:JF42=IB15)*(JM3:JM42="W"))+SUMPRODUCT((JC3:JC42=IB14)*(JF3:JF42=IB16)*(JM3:JM42="W"))+SUMPRODUCT((JC3:JC42=IB14)*(JF3:JF42=IB17)*(JM3:JM42="W"))+SUMPRODUCT((JC3:JC42=IB15)*(JF3:JF42=IB14)*(JN3:JN42="W"))+SUMPRODUCT((JC3:JC42=IB16)*(JF3:JF42=IB14)*(JN3:JN42="W"))+SUMPRODUCT((JC3:JC42=IB17)*(JF3:JF42=IB14)*(JN3:JN42="W"))</f>
        <v>0</v>
      </c>
      <c r="ID14" s="75">
        <f ca="1">SUMPRODUCT((JC3:JC42=IB14)*(JF3:JF42=IB15)*(JM3:JM42="D"))+SUMPRODUCT((JC3:JC42=IB14)*(JF3:JF42=IB16)*(JM3:JM42="D"))+SUMPRODUCT((JC3:JC42=IB14)*(JF3:JF42=IB17)*(JM3:JM42="D"))+SUMPRODUCT((JC3:JC42=IB15)*(JF3:JF42=IB14)*(JM3:JM42="D"))+SUMPRODUCT((JC3:JC42=IB16)*(JF3:JF42=IB14)*(JM3:JM42="D"))+SUMPRODUCT((JC3:JC42=IB17)*(JF3:JF42=IB14)*(JM3:JM42="D"))</f>
        <v>0</v>
      </c>
      <c r="IE14" s="75">
        <f ca="1">SUMPRODUCT((JC3:JC42=IB14)*(JF3:JF42=IB15)*(JM3:JM42="L"))+SUMPRODUCT((JC3:JC42=IB14)*(JF3:JF42=IB16)*(JM3:JM42="L"))+SUMPRODUCT((JC3:JC42=IB14)*(JF3:JF42=IB17)*(JM3:JM42="L"))+SUMPRODUCT((JC3:JC42=IB15)*(JF3:JF42=IB14)*(JN3:JN42="L"))+SUMPRODUCT((JC3:JC42=IB16)*(JF3:JF42=IB14)*(JN3:JN42="L"))+SUMPRODUCT((JC3:JC42=IB17)*(JF3:JF42=IB14)*(JN3:JN42="L"))</f>
        <v>0</v>
      </c>
      <c r="IF14" s="75">
        <f ca="1">IF(IB14&lt;&gt;"",VLOOKUP(IB14,EI4:EM29,5,FALSE),0)</f>
        <v>0</v>
      </c>
      <c r="IG14" s="75">
        <f ca="1">IF(IB14&lt;&gt;"",VLOOKUP(IB14,EI4:EN29,6,FALSE),0)</f>
        <v>0</v>
      </c>
      <c r="IH14" s="75">
        <f ca="1">IF14-IG14+1000</f>
        <v>1000</v>
      </c>
      <c r="II14" s="75">
        <f ca="1">IF(IB14&lt;&gt;"",VLOOKUP(IB14,EI4:EP29,8,FALSE),0)</f>
        <v>0</v>
      </c>
      <c r="IJ14" s="75">
        <f ca="1">IF(IB14&lt;&gt;"",VLOOKUP(IB14,EI4:EQ29,9,FALSE),0)</f>
        <v>0</v>
      </c>
      <c r="IK14" s="75">
        <f ca="1">II14-IJ14+1000</f>
        <v>1000</v>
      </c>
      <c r="IL14" s="75" t="str">
        <f ca="1">IF(IB14&lt;&gt;"",VLOOKUP(IB14,EI11:EM15,5,FALSE),"")</f>
        <v/>
      </c>
      <c r="IM14" s="75" t="str">
        <f ca="1">IF(IB14&lt;&gt;"",VLOOKUP(IB14,EI11:EP15,8,FALSE),"")</f>
        <v/>
      </c>
      <c r="IN14" s="75" t="str">
        <f ca="1">IF(IB14&lt;&gt;"",VLOOKUP(IB14,EI11:EW15,15,FALSE),"")</f>
        <v/>
      </c>
      <c r="IO14" s="75">
        <f ca="1">SUMPRODUCT((JC3:JC42=IB14)*(JF3:JF42=IB15)*JI3:JI42)+SUMPRODUCT((JC3:JC42=IB14)*(JF3:JF42=IB16)*JI3:JI42)+SUMPRODUCT((JC3:JC42=IB14)*(JF3:JF42=IB17)*JI3:JI42)+SUMPRODUCT((JC3:JC42=IB15)*(JF3:JF42=IB14)*JJ3:JJ42)+SUMPRODUCT((JC3:JC42=IB16)*(JF3:JF42=IB14)*JJ3:JJ42)+SUMPRODUCT((JC3:JC42=IB17)*(JF3:JF42=IB14)*JJ3:JJ42)</f>
        <v>0</v>
      </c>
      <c r="IP14" s="75">
        <f ca="1">SUMPRODUCT((JC3:JC42=IB14)*(JF3:JF42=IB15)*JK3:JK42)+SUMPRODUCT((JC3:JC42=IB14)*(JF3:JF42=IB16)*JK3:JK42)+SUMPRODUCT((JC3:JC42=IB14)*(JF3:JF42=IB17)*JK3:JK42)+SUMPRODUCT((JC3:JC42=IB15)*(JF3:JF42=IB14)*JL3:JL42)+SUMPRODUCT((JC3:JC42=IB16)*(JF3:JF42=IB14)*JL3:JL42)+SUMPRODUCT((JC3:JC42=IB17)*(JF3:JF42=IB14)*JL3:JL42)</f>
        <v>0</v>
      </c>
      <c r="IQ14" s="75">
        <f ca="1">IC14*4+ID14*2+IO14+IP14</f>
        <v>0</v>
      </c>
      <c r="IR14" s="75" t="str">
        <f ca="1">IF(IB14&lt;&gt;"",RANK(IQ14,IQ14:IQ17),"")</f>
        <v/>
      </c>
      <c r="IS14" s="75">
        <f ca="1">SUMPRODUCT((IQ14:IQ17=IQ14)*(IH14:IH17&gt;IH14))</f>
        <v>0</v>
      </c>
      <c r="IT14" s="75">
        <f ca="1">SUMPRODUCT((IQ14:IQ17=IQ14)*(IH14:IH17=IH14)*(IK14:IK17&gt;IK14))</f>
        <v>0</v>
      </c>
      <c r="IU14" s="75">
        <f ca="1">SUMPRODUCT((IQ11:IQ15=IQ14)*(IH11:IH15=IH14)*(IK11:IK15=IK14)*(IL11:IL15&gt;IL14))</f>
        <v>0</v>
      </c>
      <c r="IV14" s="75">
        <f ca="1">SUMPRODUCT((IQ11:IQ15=IQ14)*(IH11:IH15=IH14)*(IK11:IK15=IK14)*(IL11:IL15=IL14)*(IM11:IM15&gt;IM14))</f>
        <v>0</v>
      </c>
      <c r="IW14" s="75">
        <f ca="1">SUMPRODUCT((IQ11:IQ15=IQ14)*(IH11:IH15=IH14)*(IK11:IK15=IK14)*(IL11:IL15=IL14)*(IM11:IM15=IM14)*(IN11:IN15&gt;IN14))</f>
        <v>0</v>
      </c>
      <c r="IX14" s="75" t="str">
        <f t="shared" ref="IX14:IX15" ca="1" si="89">IF(IB14&lt;&gt;"",SUM(IR14:IW14)+3,"")</f>
        <v/>
      </c>
      <c r="IY14" s="75" t="str">
        <f ca="1">IF(IB14&lt;&gt;"",IF(IX14=4,IB14,IB15),"")</f>
        <v/>
      </c>
      <c r="IZ14" s="75" t="str">
        <f ca="1">IF(IY14&lt;&gt;"",IY14,IF(IA14&lt;&gt;"",IA14,IF(HC14&lt;&gt;"",HC14,IF(GE14&lt;&gt;"",GE14,FA14))))</f>
        <v>Samoa</v>
      </c>
      <c r="JA14" s="75">
        <v>4</v>
      </c>
      <c r="JB14" s="75">
        <v>12</v>
      </c>
      <c r="JC14" s="75" t="str">
        <f t="shared" si="4"/>
        <v>New Zealand</v>
      </c>
      <c r="JD14" s="75" t="str">
        <f ca="1">IF(OFFSET('Prediction Sheet'!$W24,0,JD$1)&lt;&gt;"",OFFSET('Prediction Sheet'!$W24,0,JD$1),"")</f>
        <v/>
      </c>
      <c r="JE14" s="75" t="str">
        <f ca="1">IF(OFFSET('Prediction Sheet'!$Y24,0,JD$1)&lt;&gt;"",OFFSET('Prediction Sheet'!$Y24,0,JD$1),"")</f>
        <v/>
      </c>
      <c r="JF14" s="75" t="str">
        <f t="shared" si="5"/>
        <v>Namibia</v>
      </c>
      <c r="JG14" s="75" t="str">
        <f ca="1">IF(OFFSET('Prediction Sheet'!$AA24,0,JF$1)&lt;&gt;"",OFFSET('Prediction Sheet'!$AA24,0,JF$1),"")</f>
        <v/>
      </c>
      <c r="JH14" s="75" t="str">
        <f ca="1">IF(OFFSET('Prediction Sheet'!$AC24,0,JG$1)&lt;&gt;"",OFFSET('Prediction Sheet'!$AC24,0,JG$1),"")</f>
        <v/>
      </c>
      <c r="JI14" s="75">
        <f t="shared" ca="1" si="6"/>
        <v>0</v>
      </c>
      <c r="JJ14" s="75">
        <f t="shared" ca="1" si="7"/>
        <v>0</v>
      </c>
      <c r="JK14" s="75">
        <f t="shared" ca="1" si="8"/>
        <v>0</v>
      </c>
      <c r="JL14" s="75">
        <f t="shared" ca="1" si="9"/>
        <v>0</v>
      </c>
      <c r="JM14" s="75" t="str">
        <f t="shared" ca="1" si="10"/>
        <v/>
      </c>
      <c r="JN14" s="75" t="str">
        <f t="shared" ca="1" si="11"/>
        <v/>
      </c>
    </row>
    <row r="15" spans="1:274" x14ac:dyDescent="0.2">
      <c r="A15" s="75">
        <f>VLOOKUP(B15,DS11:DT15,2,FALSE)</f>
        <v>1</v>
      </c>
      <c r="B15" s="75" t="s">
        <v>5</v>
      </c>
      <c r="C15" s="75">
        <f t="shared" si="48"/>
        <v>0</v>
      </c>
      <c r="D15" s="75">
        <f t="shared" si="49"/>
        <v>0</v>
      </c>
      <c r="E15" s="75">
        <f t="shared" si="50"/>
        <v>0</v>
      </c>
      <c r="F15" s="75">
        <f>SUMIF($DV$3:$DV$60,B15,$DW$3:$DW$60)+SUMIF($DY$3:$DY$60,B15,$DX$3:$DX$60)</f>
        <v>0</v>
      </c>
      <c r="G15" s="75">
        <f>SUMIF($DY$3:$DY$60,B15,$DW$3:$DW$60)+SUMIF($DV$3:$DV$60,B15,$DX$3:$DX$60)</f>
        <v>0</v>
      </c>
      <c r="H15" s="75">
        <f t="shared" si="51"/>
        <v>1000</v>
      </c>
      <c r="I15" s="75">
        <f>SUMIF(Tournament!$H$13:$H$52,B15,Tournament!$O$13:$O$52)+SUMIF(Tournament!$N$13:$N$52,B15,Tournament!$Q$13:$Q$52)</f>
        <v>0</v>
      </c>
      <c r="J15" s="75">
        <f>SUMIF(Tournament!$N$13:$N$52,B15,Tournament!$O$13:$O$52)+SUMIF(Tournament!$H$13:$H$52,B15,Tournament!$Q$13:$Q$52)</f>
        <v>0</v>
      </c>
      <c r="K15" s="75">
        <f t="shared" si="52"/>
        <v>1000</v>
      </c>
      <c r="L15" s="75">
        <f t="shared" si="53"/>
        <v>0</v>
      </c>
      <c r="M15" s="75">
        <f>SUMIF(DV:DV,B15,EB:EB)+SUMIF(DY:DY,B15,EC:EC)</f>
        <v>4</v>
      </c>
      <c r="N15" s="75">
        <f>SUMIF(DV:DV,B15,ED:ED)+SUMIF(DY:DY,B15,EE:EE)</f>
        <v>0</v>
      </c>
      <c r="O15" s="75">
        <f t="shared" si="54"/>
        <v>4</v>
      </c>
      <c r="P15" s="75">
        <v>16</v>
      </c>
      <c r="Q15" s="75">
        <f t="shared" si="63"/>
        <v>1</v>
      </c>
      <c r="S15" s="75">
        <f>RANK(O15,$O$11:$O$15)+COUNTIF($O$11:O15,O15)-1</f>
        <v>5</v>
      </c>
      <c r="T15" s="75" t="str">
        <f>INDEX($B$11:$B$15,MATCH(5,$S$11:$S$15,0),0)</f>
        <v>USA</v>
      </c>
      <c r="U15" s="75">
        <f t="shared" si="64"/>
        <v>1</v>
      </c>
      <c r="V15" s="75" t="str">
        <f>IF(AND(V14&lt;&gt;"",U15=1),T15,"")</f>
        <v>USA</v>
      </c>
      <c r="AA15" s="75" t="str">
        <f t="shared" si="65"/>
        <v>USA</v>
      </c>
      <c r="AB15" s="75">
        <f>SUMPRODUCT((DV3:DV42=AA15)*(DY3:DY42=AA11)*(EF3:EF42="W"))+SUMPRODUCT((DV3:DV42=AA15)*(DY3:DY42=AA12)*(EF3:EF42="W"))+SUMPRODUCT((DV3:DV42=AA15)*(DY3:DY42=AA13)*(EF3:EF42="W"))+SUMPRODUCT((DV3:DV42=AA15)*(DY3:DY42=AA14)*(EF3:EF42="W"))+SUMPRODUCT((DV3:DV42=AA11)*(DY3:DY42=AA15)*(EG3:EG42="W"))+SUMPRODUCT((DV3:DV42=AA12)*(DY3:DY42=AA15)*(EG3:EG42="W"))+SUMPRODUCT((DV3:DV42=AA13)*(DY3:DY42=AA15)*(EG3:EG42="W"))+SUMPRODUCT((DV3:DV42=AA14)*(DY3:DY42=AA15)*(EG3:EG42="W"))</f>
        <v>0</v>
      </c>
      <c r="AC15" s="75">
        <f>SUMPRODUCT((DV3:DV42=AA15)*(DY3:DY42=AA11)*(EF3:EF42="D"))+SUMPRODUCT((DV3:DV42=AA15)*(DY3:DY42=AA12)*(EF3:EF42="D"))+SUMPRODUCT((DV3:DV42=AA15)*(DY3:DY42=AA13)*(EF3:EF42="D"))+SUMPRODUCT((DV3:DV42=AA15)*(DY3:DY42=AA14)*(EF3:EF42="D"))+SUMPRODUCT((DV3:DV42=AA11)*(DY3:DY42=AA15)*(EF3:EF42="D"))+SUMPRODUCT((DV3:DV42=AA12)*(DY3:DY42=AA15)*(EF3:EF42="D"))+SUMPRODUCT((DV3:DV42=AA13)*(DY3:DY42=AA15)*(EF3:EF42="D"))+SUMPRODUCT((DV3:DV42=AA14)*(DY3:DY42=AA15)*(EF3:EF42="D"))</f>
        <v>0</v>
      </c>
      <c r="AD15" s="75">
        <f>SUMPRODUCT((DV3:DV42=AA15)*(DY3:DY42=AA11)*(EF3:EF42="L"))+SUMPRODUCT((DV3:DV42=AA15)*(DY3:DY42=AA12)*(EF3:EF42="L"))+SUMPRODUCT((DV3:DV42=AA15)*(DY3:DY42=AA13)*(EF3:EF42="L"))+SUMPRODUCT((DV3:DV42=AA15)*(DY3:DY42=AA14)*(EF3:EF42="L"))+SUMPRODUCT((DV3:DV42=AA11)*(DY3:DY42=AA15)*(EG3:EG42="L"))+SUMPRODUCT((DV3:DV42=AA12)*(DY3:DY42=AA15)*(EG3:EG42="L"))+SUMPRODUCT((DV3:DV42=AA13)*(DY3:DY42=AA15)*(EG3:EG42="L"))+SUMPRODUCT((DV3:DV42=AA14)*(DY3:DY42=AA15)*(EG3:EG42="L"))</f>
        <v>0</v>
      </c>
      <c r="AE15" s="75">
        <f>IF(AA15&lt;&gt;"",VLOOKUP(AA15,B4:F29,5,FALSE),0)</f>
        <v>0</v>
      </c>
      <c r="AF15" s="75">
        <f>IF(AA15&lt;&gt;"",VLOOKUP(AA15,B4:G29,6,FALSE),0)</f>
        <v>0</v>
      </c>
      <c r="AG15" s="75">
        <f>AE15-AF15+1000</f>
        <v>1000</v>
      </c>
      <c r="AH15" s="75">
        <f>IF(AA15&lt;&gt;"",VLOOKUP(AA15,B4:I29,8,FALSE),0)</f>
        <v>0</v>
      </c>
      <c r="AI15" s="75">
        <f>IF(AA15&lt;&gt;"",VLOOKUP(AA15,B4:J29,9,FALSE),0)</f>
        <v>0</v>
      </c>
      <c r="AJ15" s="75">
        <f>IF(AA15&lt;&gt;"",AH15-AI15+1000,"")</f>
        <v>1000</v>
      </c>
      <c r="AK15" s="75">
        <f>IF(AA15&lt;&gt;"",VLOOKUP(AA15,B11:F15,5,FALSE),"")</f>
        <v>0</v>
      </c>
      <c r="AL15" s="75">
        <f>IF(AA15&lt;&gt;"",VLOOKUP(AA15,B11:I15,8,FALSE),"")</f>
        <v>0</v>
      </c>
      <c r="AM15" s="75">
        <f>IF(AA15&lt;&gt;"",VLOOKUP(AA15,B11:P15,15,FALSE),"")</f>
        <v>16</v>
      </c>
      <c r="AN15" s="75">
        <f>SUMPRODUCT((DV3:DV42=AA15)*(DY3:DY42=AA11)*EB3:EB42)+SUMPRODUCT((DV3:DV42=AA15)*(DY3:DY42=AA12)*EB3:EB42)+SUMPRODUCT((DV3:DV42=AA15)*(DY3:DY42=AA13)*EB3:EB42)+SUMPRODUCT((DV3:DV42=AA15)*(DY3:DY42=AA14)*EB3:EB42)+SUMPRODUCT((DV3:DV42=AA11)*(DY3:DY42=AA15)*EC3:EC42)+SUMPRODUCT((DV3:DV42=AA12)*(DY3:DY42=AA15)*EC3:EC42)+SUMPRODUCT((DV3:DV42=AA13)*(DY3:DY42=AA15)*EC3:EC42)+SUMPRODUCT((DV3:DV42=AA14)*(DY3:DY42=AA15)*EC3:EC42)</f>
        <v>4</v>
      </c>
      <c r="AO15" s="75">
        <f>SUMPRODUCT((DV3:DV42=AA15)*(DY3:DY42=AA11)*ED3:ED42)+SUMPRODUCT((DV3:DV42=AA15)*(DY3:DY42=AA12)*ED3:ED42)+SUMPRODUCT((DV3:DV42=AA15)*(DY3:DY42=AA13)*ED3:ED42)+SUMPRODUCT((DV3:DV42=AA15)*(DY3:DY42=AA14)*ED3:ED42)+SUMPRODUCT((DV3:DV42=AA11)*(DY3:DY42=AA15)*EE3:EE42)+SUMPRODUCT((DV3:DV42=AA12)*(DY3:DY42=AA15)*EE3:EE42)+SUMPRODUCT((DV3:DV42=AA13)*(DY3:DY42=AA15)*EE3:EE42)+SUMPRODUCT((DV3:DV42=AA14)*(DY3:DY42=AA15)*EE3:EE42)</f>
        <v>0</v>
      </c>
      <c r="AP15" s="75">
        <f>IF(AA15&lt;&gt;"",AB15*4+AC15*2+AN15+AO15,"")</f>
        <v>4</v>
      </c>
      <c r="AQ15" s="75">
        <f>IF(AA15&lt;&gt;"",RANK(AP15,AP11:AP15),"")</f>
        <v>1</v>
      </c>
      <c r="AR15" s="75">
        <f>SUMPRODUCT((AP11:AP15=AP15)*(AG11:AG15&gt;AG15))</f>
        <v>0</v>
      </c>
      <c r="AS15" s="75">
        <f>SUMPRODUCT((AP11:AP15=AP15)*(AG11:AG15=AG15)*(AJ11:AJ15&gt;AJ15))</f>
        <v>0</v>
      </c>
      <c r="AT15" s="75">
        <f>SUMPRODUCT((AP11:AP15=AP15)*(AG11:AG15=AG15)*(AJ11:AJ15=AJ15)*(AK11:AK15&gt;AK15))</f>
        <v>0</v>
      </c>
      <c r="AU15" s="75">
        <f>SUMPRODUCT((AP11:AP15=AP15)*(AG11:AG15=AG15)*(AJ11:AJ15=AJ15)*(AK11:AK15=AK15)*(AL11:AL15&gt;AL15))</f>
        <v>0</v>
      </c>
      <c r="AV15" s="75">
        <f>SUMPRODUCT((AP11:AP15=AP15)*(AG11:AG15=AG15)*(AJ11:AJ15=AJ15)*(AK11:AK15=AK15)*(AL11:AL15=AL15)*(AM11:AM15&gt;AM15))</f>
        <v>0</v>
      </c>
      <c r="AW15" s="75">
        <f t="shared" si="68"/>
        <v>1</v>
      </c>
      <c r="AX15" s="75" t="str">
        <f>IF(AA15&lt;&gt;"",INDEX(AA11:AA15,MATCH(5,AW11:AW15,0),0),"")</f>
        <v>South Africa</v>
      </c>
      <c r="AY15" s="75" t="str">
        <f>IF(W14&lt;&gt;"",W14,"")</f>
        <v/>
      </c>
      <c r="AZ15" s="75" t="str">
        <f>IF(AY15&lt;&gt;"",SUMPRODUCT((DV3:DV42=AY15)*(DY3:DY42=AY12)*(EF3:EF42="W"))+SUMPRODUCT((DV3:DV42=AY15)*(DY3:DY42=AY13)*(EF3:EF42="W"))+SUMPRODUCT((DV3:DV42=AY15)*(DY3:DY42=AY14)*(EF3:EF42="W"))+SUMPRODUCT((DV3:DV42=AY12)*(DY3:DY42=AY15)*(EF3:EF42="W"))+SUMPRODUCT((DV3:DV42=AY13)*(DY3:DY42=AY15)*(EF3:EF42="W"))+SUMPRODUCT((DV3:DV42=AY14)*(DY3:DY42=AY15)*(EF3:EF42="W")),"")</f>
        <v/>
      </c>
      <c r="BA15" s="75" t="str">
        <f>IF(AY15&lt;&gt;"",SUMPRODUCT((DV3:DV42=AY15)*(DY3:DY42=AY12)*(EF3:EF42="D"))+SUMPRODUCT((DV3:DV42=AY15)*(DY3:DY42=AY13)*(EF3:EF42="D"))+SUMPRODUCT((DV3:DV42=AY15)*(DY3:DY42=AY14)*(EF3:EF42="D"))+SUMPRODUCT((DV3:DV42=AY12)*(DY3:DY42=AY15)*(EF3:EF42="D"))+SUMPRODUCT((DV3:DV42=AY13)*(DY3:DY42=AY15)*(EF3:EF42="D"))+SUMPRODUCT((DV3:DV42=AY14)*(DY3:DY42=AY15)*(EF3:EF42="D")),"")</f>
        <v/>
      </c>
      <c r="BB15" s="75" t="str">
        <f>IF(AY15&lt;&gt;"",SUMPRODUCT((DV3:DV42=AY15)*(DY3:DY42=AY12)*(EF3:EF42="L"))+SUMPRODUCT((DV3:DV42=AY15)*(DY3:DY42=AY13)*(EF3:EF42="L"))+SUMPRODUCT((DV3:DV42=AY15)*(DY3:DY42=AY14)*(EF3:EF42="L"))+SUMPRODUCT((DV3:DV42=AY12)*(DY3:DY42=AY15)*(EF3:EF42="L"))+SUMPRODUCT((DV3:DV42=AY13)*(DY3:DY42=AY15)*(EF3:EF42="L"))+SUMPRODUCT((DV3:DV42=AY14)*(DY3:DY42=AY15)*(EF3:EF42="L")),"")</f>
        <v/>
      </c>
      <c r="BC15" s="75">
        <f>IF(AY15&lt;&gt;"",VLOOKUP(AY15,B4:F29,5,FALSE),0)</f>
        <v>0</v>
      </c>
      <c r="BD15" s="75">
        <f>IF(AY15&lt;&gt;"",VLOOKUP(AY15,B4:G29,6,FALSE),0)</f>
        <v>0</v>
      </c>
      <c r="BE15" s="75">
        <f>BC15-BD15+1000</f>
        <v>1000</v>
      </c>
      <c r="BF15" s="75">
        <f>IF(AY15&lt;&gt;"",VLOOKUP(AY15,B4:I29,8,FALSE),0)</f>
        <v>0</v>
      </c>
      <c r="BG15" s="75">
        <f>IF(AY15&lt;&gt;"",VLOOKUP(AY15,B4:J29,9,FALSE),0)</f>
        <v>0</v>
      </c>
      <c r="BH15" s="75" t="str">
        <f>IF(AY15&lt;&gt;"",BF15-BG15+1000,"")</f>
        <v/>
      </c>
      <c r="BI15" s="75" t="str">
        <f>IF(AY15&lt;&gt;"",VLOOKUP(AY15,B11:F15,5,FALSE),"")</f>
        <v/>
      </c>
      <c r="BJ15" s="75" t="str">
        <f>IF(AY15&lt;&gt;"",VLOOKUP(AY15,B11:I15,8,FALSE),"")</f>
        <v/>
      </c>
      <c r="BK15" s="75" t="str">
        <f>IF(AY15&lt;&gt;"",VLOOKUP(AY15,B11:P15,15,FALSE),"")</f>
        <v/>
      </c>
      <c r="BL15" s="75" t="str">
        <f>IF(AY15&lt;&gt;"",SUMPRODUCT((DV3:DV42=AY15)*(DY3:DY42=AY12)*EB3:EB42)+SUMPRODUCT((DV3:DV42=AY15)*(DY3:DY42=AY13)*EB3:EB42)+SUMPRODUCT((DV3:DV42=AY15)*(DY3:DY42=AY14)*EB3:EB42)+SUMPRODUCT((DV3:DV42=AY12)*(DY3:DY42=AY15)*EC3:EC42)+SUMPRODUCT((DV3:DV42=AY13)*(DY3:DY42=AY15)*EC3:EC42)+SUMPRODUCT((DV3:DV42=AY14)*(DY3:DY42=AY15)*EC3:EC42),"")</f>
        <v/>
      </c>
      <c r="BM15" s="75" t="str">
        <f>IF(AY15&lt;&gt;"",SUMPRODUCT((DV3:DV42=AY15)*(DY3:DY42=AY12)*ED3:ED42)+SUMPRODUCT((DV3:DV42=AY15)*(DY3:DY42=AY13)*ED3:ED42)+SUMPRODUCT((DV3:DV42=AY15)*(DY3:DY42=AY14)*ED3:ED42)+SUMPRODUCT((DV3:DV42=AY12)*(DY3:DY42=AY15)*EE3:EE42)+SUMPRODUCT((DV3:DV42=AY13)*(DY3:DY42=AY15)*EE3:EE42)+SUMPRODUCT((DV3:DV42=AY14)*(DY3:DY42=AY15)*EE3:EE42),"")</f>
        <v/>
      </c>
      <c r="BN15" s="75" t="str">
        <f>IF(AY15&lt;&gt;"",AZ15*4+BA15*2+BL15+BM15,"")</f>
        <v/>
      </c>
      <c r="BO15" s="75" t="str">
        <f>IF(AY15&lt;&gt;"",RANK(BN15,BN12:BN15),"")</f>
        <v/>
      </c>
      <c r="BP15" s="75">
        <f>SUMPRODUCT((BN12:BN15=BN15)*(BE12:BE15&gt;BE15))</f>
        <v>0</v>
      </c>
      <c r="BQ15" s="75">
        <f>SUMPRODUCT((BN12:BN15=BN15)*(BE12:BE15=BE15)*(BH12:BH15&gt;BH15))</f>
        <v>0</v>
      </c>
      <c r="BR15" s="75">
        <f>SUMPRODUCT((BN11:BN15=BN15)*(BE11:BE15=BE15)*(BH11:BH15=BH15)*(BI11:BI15&gt;BI15))</f>
        <v>0</v>
      </c>
      <c r="BS15" s="75">
        <f>SUMPRODUCT((BN11:BN15=BN15)*(BE11:BE15=BE15)*(BH11:BH15=BH15)*(BI11:BI15=BI15)*(BJ11:BJ15&gt;BJ15))</f>
        <v>0</v>
      </c>
      <c r="BT15" s="75">
        <f>SUMPRODUCT((BN11:BN15=BN15)*(BE11:BE15=BE15)*(BH11:BH15=BH15)*(BI11:BI15=BI15)*(BJ11:BJ15=BJ15)*(BK11:BK15&gt;BK15))</f>
        <v>0</v>
      </c>
      <c r="BU15" s="75" t="str">
        <f t="shared" si="69"/>
        <v/>
      </c>
      <c r="BV15" s="75" t="str">
        <f>IF(AY15&lt;&gt;"",INDEX(AY12:AY15,MATCH(5,BU12:BU15,0),0),"")</f>
        <v/>
      </c>
      <c r="BW15" s="75" t="str">
        <f>IF(X13&lt;&gt;"",X13,"")</f>
        <v/>
      </c>
      <c r="BX15" s="75" t="str">
        <f>IF(BW15&lt;&gt;"",SUMPRODUCT((DV3:DV42=BW15)*(DY3:DY42=BW16)*(EF3:EF42="W"))+SUMPRODUCT((DV3:DV42=BW15)*(DY3:DY42=BW13)*(EF3:EF42="W"))+SUMPRODUCT((DV3:DV42=BW15)*(DY3:DY42=BW14)*(EF3:EF42="W"))+SUMPRODUCT((DV3:DV42=BW16)*(DY3:DY42=BW15)*(EG3:EG42="W"))+SUMPRODUCT((DV3:DV42=BW13)*(DY3:DY42=BW15)*(EG3:EG42="W"))+SUMPRODUCT((DV3:DV42=BW14)*(DY3:DY42=BW15)*(EG3:EG42="W")),"")</f>
        <v/>
      </c>
      <c r="BY15" s="75" t="str">
        <f>IF(BW15&lt;&gt;"",SUMPRODUCT((DV3:DV42=BW15)*(DY3:DY42=BW16)*(EF3:EF42="D"))+SUMPRODUCT((DV3:DV42=BW15)*(DY3:DY42=BW13)*(EF3:EF42="D"))+SUMPRODUCT((DV3:DV42=BW15)*(DY3:DY42=BW14)*(EF3:EF42="D"))+SUMPRODUCT((DV3:DV42=BW16)*(DY3:DY42=BW15)*(EF3:EF42="D"))+SUMPRODUCT((DV3:DV42=BW13)*(DY3:DY42=BW15)*(EF3:EF42="D"))+SUMPRODUCT((DV3:DV42=BW14)*(DY3:DY42=BW15)*(EF3:EF42="D")),"")</f>
        <v/>
      </c>
      <c r="BZ15" s="75" t="str">
        <f>IF(BW15&lt;&gt;"",SUMPRODUCT((DV3:DV42=BW15)*(DY3:DY42=BW16)*(EF3:EF42="L"))+SUMPRODUCT((DV3:DV42=BW15)*(DY3:DY42=BW13)*(EF3:EF42="L"))+SUMPRODUCT((DV3:DV42=BW15)*(DY3:DY42=BW14)*(EF3:EF42="L"))+SUMPRODUCT((DV3:DV42=BW16)*(DY3:DY42=BW15)*(EG3:EG42="L"))+SUMPRODUCT((DV3:DV42=BW13)*(DY3:DY42=BW15)*(EG3:EG42="L"))+SUMPRODUCT((DV3:DV42=BW14)*(DY3:DY42=BW15)*(EG3:EG42="L")),"")</f>
        <v/>
      </c>
      <c r="CA15" s="75">
        <f>IF(BW15&lt;&gt;"",VLOOKUP(BW15,B4:F29,5,FALSE),0)</f>
        <v>0</v>
      </c>
      <c r="CB15" s="75">
        <f>IF(BW15&lt;&gt;"",VLOOKUP(BW15,B4:G29,6,FALSE),0)</f>
        <v>0</v>
      </c>
      <c r="CC15" s="75">
        <f>CA15-CB15+1000</f>
        <v>1000</v>
      </c>
      <c r="CD15" s="75">
        <f>IF(BW15&lt;&gt;"",VLOOKUP(BW15,B4:I29,8,FALSE),0)</f>
        <v>0</v>
      </c>
      <c r="CE15" s="75">
        <f>IF(BW15&lt;&gt;"",VLOOKUP(BW15,B4:J29,9,FALSE),0)</f>
        <v>0</v>
      </c>
      <c r="CF15" s="75" t="str">
        <f>IF(BW15&lt;&gt;"",CD15-CE15+1000,"")</f>
        <v/>
      </c>
      <c r="CG15" s="75" t="str">
        <f>IF(BW15&lt;&gt;"",VLOOKUP(BW15,B11:F15,5,FALSE),"")</f>
        <v/>
      </c>
      <c r="CH15" s="75" t="str">
        <f>IF(BW15&lt;&gt;"",VLOOKUP(BW15,B11:I15,8,FALSE),"")</f>
        <v/>
      </c>
      <c r="CI15" s="75" t="str">
        <f>IF(BW15&lt;&gt;"",VLOOKUP(BW15,B11:P15,15,FALSE),"")</f>
        <v/>
      </c>
      <c r="CJ15" s="75" t="str">
        <f>IF(BW15&lt;&gt;"",SUMPRODUCT((DV3:DV42=BW15)*(DY3:DY42=BW16)*EB3:EB42)+SUMPRODUCT((DV3:DV42=BW15)*(DY3:DY42=BW13)*EB3:EB42)+SUMPRODUCT((DV3:DV42=BW15)*(DY3:DY42=BW14)*EB3:EB42)+SUMPRODUCT((DV3:DV42=BW16)*(DY3:DY42=BW15)*EC3:EC42)+SUMPRODUCT((DV3:DV42=BW13)*(DY3:DY42=BW15)*EC3:EC42)+SUMPRODUCT((DV3:DV42=BW14)*(DY3:DY42=BW15)*EC3:EC42),"")</f>
        <v/>
      </c>
      <c r="CK15" s="75" t="str">
        <f>IF(BW15&lt;&gt;"",SUMPRODUCT((DV3:DV42=BW15)*(DY3:DY42=BW16)*ED3:ED42)+SUMPRODUCT((DV3:DV42=BW15)*(DY3:DY42=BW13)*ED3:ED42)+SUMPRODUCT((DV3:DV42=BW15)*(DY3:DY42=BW14)*ED3:ED42)+SUMPRODUCT((DV3:DV42=BW16)*(DY3:DY42=BW15)*EE3:EE42)+SUMPRODUCT((DV3:DV42=BW13)*(DY3:DY42=BW15)*EE3:EE42)+SUMPRODUCT((DV3:DV42=BW14)*(DY3:DY42=BW15)*EE3:EE42),"")</f>
        <v/>
      </c>
      <c r="CL15" s="75" t="str">
        <f>IF(BW15&lt;&gt;"",BX15*4+BY15*2+CJ15+CK15,"")</f>
        <v/>
      </c>
      <c r="CM15" s="75" t="str">
        <f>IF(BW15&lt;&gt;"",RANK(CL15,CL13:CL16),"")</f>
        <v/>
      </c>
      <c r="CN15" s="75">
        <f>SUMPRODUCT((CL13:CL16=CL15)*(CC13:CC16&gt;CC15))</f>
        <v>0</v>
      </c>
      <c r="CO15" s="75">
        <f>SUMPRODUCT((CL13:CL16=CL15)*(CC13:CC16=CC15)*(CF13:CF16&gt;CF15))</f>
        <v>0</v>
      </c>
      <c r="CP15" s="75">
        <f>SUMPRODUCT((CL11:CL15=CL15)*(CC11:CC15=CC15)*(CF11:CF15=CF15)*(CG11:CG15&gt;CG15))</f>
        <v>0</v>
      </c>
      <c r="CQ15" s="75">
        <f>SUMPRODUCT((CL11:CL15=CL15)*(CC11:CC15=CC15)*(CF11:CF15=CF15)*(CG11:CG15=CG15)*(CH11:CH15&gt;CH15))</f>
        <v>0</v>
      </c>
      <c r="CR15" s="75">
        <f>SUMPRODUCT((CL11:CL15=CL15)*(CC11:CC15=CC15)*(CF11:CF15=CF15)*(CG11:CG15=CG15)*(CH11:CH15=CH15)*(CI11:CI15&gt;CI15))</f>
        <v>0</v>
      </c>
      <c r="CS15" s="75" t="str">
        <f t="shared" si="81"/>
        <v/>
      </c>
      <c r="CT15" s="75" t="str">
        <f>IF(BW15&lt;&gt;"",INDEX(BW13:BW15,MATCH(5,CS13:CS15,0),0),"")</f>
        <v/>
      </c>
      <c r="CU15" s="75" t="str">
        <f>IF(Y12&lt;&gt;"",Y12,"")</f>
        <v/>
      </c>
      <c r="CV15" s="75">
        <f>SUMPRODUCT((DV3:DV42=CU15)*(DY3:DY42=CU16)*(EF3:EF42="W"))+SUMPRODUCT((DV3:DV42=CU15)*(DY3:DY42=CU17)*(EF3:EF42="W"))+SUMPRODUCT((DV3:DV42=CU15)*(DY3:DY42=CU14)*(EF3:EF42="W"))+SUMPRODUCT((DV3:DV42=CU16)*(DY3:DY42=CU15)*(EG3:EG42="W"))+SUMPRODUCT((DV3:DV42=CU17)*(DY3:DY42=CU15)*(EG3:EG42="W"))+SUMPRODUCT((DV3:DV42=CU14)*(DY3:DY42=CU15)*(EG3:EG42="W"))</f>
        <v>0</v>
      </c>
      <c r="CW15" s="75">
        <f>SUMPRODUCT((DV3:DV42=CU15)*(DY3:DY42=CU16)*(EF3:EF42="D"))+SUMPRODUCT((DV3:DV42=CU15)*(DY3:DY42=CU17)*(EF3:EF42="D"))+SUMPRODUCT((DV3:DV42=CU15)*(DY3:DY42=CU14)*(EF3:EF42="D"))+SUMPRODUCT((DV3:DV42=CU16)*(DY3:DY42=CU15)*(EF3:EF42="D"))+SUMPRODUCT((DV3:DV42=CU17)*(DY3:DY42=CU15)*(EF3:EF42="D"))+SUMPRODUCT((DV3:DV42=CU14)*(DY3:DY42=CU15)*(EF3:EF42="D"))</f>
        <v>0</v>
      </c>
      <c r="CX15" s="75">
        <f>SUMPRODUCT((DV3:DV42=CU15)*(DY3:DY42=CU16)*(EF3:EF42="L"))+SUMPRODUCT((DV3:DV42=CU15)*(DY3:DY42=CU17)*(EF3:EF42="L"))+SUMPRODUCT((DV3:DV42=CU15)*(DY3:DY42=CU14)*(EF3:EF42="L"))+SUMPRODUCT((DV3:DV42=CU16)*(DY3:DY42=CU15)*(EG3:EG42="L"))+SUMPRODUCT((DV3:DV42=CU17)*(DY3:DY42=CU15)*(EG3:EG42="L"))+SUMPRODUCT((DV3:DV42=CU14)*(DY3:DY42=CU15)*(EG3:EG42="L"))</f>
        <v>0</v>
      </c>
      <c r="CY15" s="75">
        <f>IF(CU15&lt;&gt;"",VLOOKUP(CU15,B4:F29,5,FALSE),0)</f>
        <v>0</v>
      </c>
      <c r="CZ15" s="75">
        <f>IF(CU15&lt;&gt;"",VLOOKUP(CU15,B4:G29,6,FALSE),0)</f>
        <v>0</v>
      </c>
      <c r="DA15" s="75">
        <f>CY15-CZ15+1000</f>
        <v>1000</v>
      </c>
      <c r="DB15" s="75">
        <f>IF(CU15&lt;&gt;"",VLOOKUP(CU15,B4:I29,8,FALSE),0)</f>
        <v>0</v>
      </c>
      <c r="DC15" s="75">
        <f>IF(CU15&lt;&gt;"",VLOOKUP(CU15,B4:J29,9,FALSE),0)</f>
        <v>0</v>
      </c>
      <c r="DD15" s="75">
        <f t="shared" ref="DD15" si="90">DB15-DC15+1000</f>
        <v>1000</v>
      </c>
      <c r="DE15" s="75" t="str">
        <f>IF(CU15&lt;&gt;"",VLOOKUP(CU15,B11:F15,5,FALSE),"")</f>
        <v/>
      </c>
      <c r="DF15" s="75" t="str">
        <f>IF(CU15&lt;&gt;"",VLOOKUP(CU15,B11:I15,8,FALSE),"")</f>
        <v/>
      </c>
      <c r="DG15" s="75" t="str">
        <f>IF(CU15&lt;&gt;"",VLOOKUP(CU15,B11:P15,15,FALSE),"")</f>
        <v/>
      </c>
      <c r="DH15" s="75">
        <f>SUMPRODUCT((DV3:DV42=CU15)*(DY3:DY42=CU16)*EB3:EB42)+SUMPRODUCT((DV3:DV42=CU15)*(DY3:DY42=CU17)*EB3:EB42)+SUMPRODUCT((DV3:DV42=CU15)*(DY3:DY42=CU14)*EB3:EB42)+SUMPRODUCT((DV3:DV42=CU16)*(DY3:DY42=CU15)*EC3:EC42)+SUMPRODUCT((DV3:DV42=CU17)*(DY3:DY42=CU15)*EC3:EC42)+SUMPRODUCT((DV3:DV42=CU14)*(DY3:DY42=CU15)*EC3:EC42)</f>
        <v>0</v>
      </c>
      <c r="DI15" s="75">
        <f>SUMPRODUCT((DV3:DV42=CU15)*(DY3:DY42=CU16)*ED3:ED42)+SUMPRODUCT((DV3:DV42=CU15)*(DY3:DY42=CU17)*ED3:ED42)+SUMPRODUCT((DV3:DV42=CU15)*(DY3:DY42=CU14)*ED3:ED42)+SUMPRODUCT((DV3:DV42=CU16)*(DY3:DY42=CU15)*EE3:EE42)+SUMPRODUCT((DV3:DV42=CU17)*(DY3:DY42=CU15)*EE3:EE42)+SUMPRODUCT((DV3:DV42=CU14)*(DY3:DY42=CU15)*EE3:EE42)</f>
        <v>0</v>
      </c>
      <c r="DJ15" s="75">
        <f t="shared" ref="DJ15" si="91">CV15*4+CW15*2+DH15+DI15</f>
        <v>0</v>
      </c>
      <c r="DK15" s="75" t="str">
        <f>IF(CU15&lt;&gt;"",RANK(DJ15,DJ14:DJ17),"")</f>
        <v/>
      </c>
      <c r="DL15" s="75">
        <f>SUMPRODUCT((DJ14:DJ17=DJ15)*(DA14:DA17&gt;DA15))</f>
        <v>0</v>
      </c>
      <c r="DM15" s="75">
        <f>SUMPRODUCT((DJ14:DJ17=DJ15)*(DA14:DA17=DA15)*(DD14:DD17&gt;DD15))</f>
        <v>0</v>
      </c>
      <c r="DN15" s="75">
        <f>SUMPRODUCT((DJ11:DJ15=DJ15)*(DA11:DA15=DA15)*(DD11:DD15=DD15)*(DE11:DE15&gt;DE15))</f>
        <v>0</v>
      </c>
      <c r="DO15" s="75">
        <f>SUMPRODUCT((DJ11:DJ15=DJ15)*(DA11:DA15=DA15)*(DD11:DD15=DD15)*(DE11:DE15=DE15)*(DF11:DF15&gt;DF15))</f>
        <v>0</v>
      </c>
      <c r="DP15" s="75">
        <f>SUMPRODUCT((DJ11:DJ15=DJ15)*(DA11:DA15=DA15)*(DD11:DD15=DD15)*(DE11:DE15=DE15)*(DF11:DF15=DF15)*(DG11:DG15&gt;DG15))</f>
        <v>0</v>
      </c>
      <c r="DQ15" s="75" t="str">
        <f t="shared" si="86"/>
        <v/>
      </c>
      <c r="DR15" s="75" t="str">
        <f>IF(CU14&lt;&gt;"",IF(CU14=DR14,CU15,CU14),"")</f>
        <v/>
      </c>
      <c r="DS15" s="75" t="str">
        <f>IF(DR15&lt;&gt;"",DR15,IF(CT15&lt;&gt;"",CT15,IF(BV15&lt;&gt;"",BV15,IF(AX15&lt;&gt;"",AX15,T15))))</f>
        <v>South Africa</v>
      </c>
      <c r="DT15" s="75">
        <v>5</v>
      </c>
      <c r="DU15" s="75">
        <v>13</v>
      </c>
      <c r="DV15" s="75" t="str">
        <f>Tournament!H25</f>
        <v>Argentina</v>
      </c>
      <c r="DW15" s="75">
        <f>IF(AND(Tournament!J25&lt;&gt;"",Tournament!L25&lt;&gt;""),Tournament!J25,0)</f>
        <v>0</v>
      </c>
      <c r="DX15" s="75">
        <f>IF(AND(Tournament!L25&lt;&gt;"",Tournament!J25&lt;&gt;""),Tournament!L25,0)</f>
        <v>0</v>
      </c>
      <c r="DY15" s="75" t="str">
        <f>Tournament!N25</f>
        <v>Georgia</v>
      </c>
      <c r="DZ15" s="75">
        <f>IF(Tournament!O25&lt;&gt;"",Tournament!O25,0)</f>
        <v>0</v>
      </c>
      <c r="EA15" s="75">
        <f>IF(Tournament!Q25&lt;&gt;"",Tournament!Q25,0)</f>
        <v>0</v>
      </c>
      <c r="EB15" s="75">
        <f>IF(DW15&lt;&gt;"",IF(Tournament!O25&gt;3,1,0),0)</f>
        <v>1</v>
      </c>
      <c r="EC15" s="75">
        <f>IF(DX15&lt;&gt;"",IF(Tournament!Q25&gt;3,1,0),0)</f>
        <v>1</v>
      </c>
      <c r="ED15" s="75">
        <f t="shared" si="1"/>
        <v>0</v>
      </c>
      <c r="EE15" s="75">
        <f t="shared" si="2"/>
        <v>0</v>
      </c>
      <c r="EF15" s="75" t="str">
        <f>IF(AND(Tournament!J25&lt;&gt;"",Tournament!L25&lt;&gt;""),IF(DW15&gt;DX15,"W",IF(DW15=DX15,"D","L")),"")</f>
        <v/>
      </c>
      <c r="EG15" s="75" t="str">
        <f t="shared" si="3"/>
        <v/>
      </c>
      <c r="EH15" s="75">
        <f ca="1">VLOOKUP(EI15,IZ11:JA15,2,FALSE)</f>
        <v>1</v>
      </c>
      <c r="EI15" s="75" t="s">
        <v>5</v>
      </c>
      <c r="EJ15" s="75">
        <f t="shared" ca="1" si="55"/>
        <v>0</v>
      </c>
      <c r="EK15" s="75">
        <f t="shared" ca="1" si="56"/>
        <v>0</v>
      </c>
      <c r="EL15" s="75">
        <f t="shared" ca="1" si="57"/>
        <v>0</v>
      </c>
      <c r="EM15" s="75">
        <f t="shared" ca="1" si="58"/>
        <v>0</v>
      </c>
      <c r="EN15" s="75">
        <f t="shared" ca="1" si="70"/>
        <v>0</v>
      </c>
      <c r="EO15" s="75">
        <f t="shared" ca="1" si="59"/>
        <v>1000</v>
      </c>
      <c r="EP15" s="75">
        <f t="shared" ca="1" si="71"/>
        <v>0</v>
      </c>
      <c r="EQ15" s="75">
        <f t="shared" ca="1" si="72"/>
        <v>0</v>
      </c>
      <c r="ER15" s="75">
        <f t="shared" ca="1" si="60"/>
        <v>1000</v>
      </c>
      <c r="ES15" s="75">
        <f t="shared" ca="1" si="61"/>
        <v>0</v>
      </c>
      <c r="ET15" s="75">
        <f ca="1">SUMIF(JC:JC,EI15,JI:JI)+SUMIF(JF:JF,EI15,JJ:JJ)</f>
        <v>0</v>
      </c>
      <c r="EU15" s="75">
        <f ca="1">SUMIF(JC:JC,EI15,JK:JK)+SUMIF(JF:JF,EI15,JL:JL)</f>
        <v>0</v>
      </c>
      <c r="EV15" s="75">
        <f t="shared" ca="1" si="62"/>
        <v>0</v>
      </c>
      <c r="EW15" s="75">
        <v>16</v>
      </c>
      <c r="EX15" s="75">
        <f t="shared" ca="1" si="73"/>
        <v>1</v>
      </c>
      <c r="EZ15" s="75">
        <f ca="1">RANK(EV15,EV$11:EV$15)+COUNTIF(EV$11:EV15,EV15)-1</f>
        <v>5</v>
      </c>
      <c r="FA15" s="75" t="str">
        <f ca="1">INDEX(EI$11:EI$15,MATCH(5,EZ$11:EZ$15,0),0)</f>
        <v>USA</v>
      </c>
      <c r="FB15" s="75">
        <f t="shared" ca="1" si="74"/>
        <v>1</v>
      </c>
      <c r="FC15" s="75" t="str">
        <f ca="1">IF(AND(FC14&lt;&gt;"",FB15=1),FA15,"")</f>
        <v>USA</v>
      </c>
      <c r="FH15" s="75" t="str">
        <f t="shared" ca="1" si="75"/>
        <v>USA</v>
      </c>
      <c r="FI15" s="75">
        <f ca="1">SUMPRODUCT((JC3:JC42=FH15)*(JF3:JF42=FH11)*(JM3:JM42="W"))+SUMPRODUCT((JC3:JC42=FH15)*(JF3:JF42=FH12)*(JM3:JM42="W"))+SUMPRODUCT((JC3:JC42=FH15)*(JF3:JF42=FH13)*(JM3:JM42="W"))+SUMPRODUCT((JC3:JC42=FH15)*(JF3:JF42=FH14)*(JM3:JM42="W"))+SUMPRODUCT((JC3:JC42=FH11)*(JF3:JF42=FH15)*(JN3:JN42="W"))+SUMPRODUCT((JC3:JC42=FH12)*(JF3:JF42=FH15)*(JN3:JN42="W"))+SUMPRODUCT((JC3:JC42=FH13)*(JF3:JF42=FH15)*(JN3:JN42="W"))+SUMPRODUCT((JC3:JC42=FH14)*(JF3:JF42=FH15)*(JN3:JN42="W"))</f>
        <v>0</v>
      </c>
      <c r="FJ15" s="75">
        <f ca="1">SUMPRODUCT((JC3:JC42=FH15)*(JF3:JF42=FH11)*(JM3:JM42="D"))+SUMPRODUCT((JC3:JC42=FH15)*(JF3:JF42=FH12)*(JM3:JM42="D"))+SUMPRODUCT((JC3:JC42=FH15)*(JF3:JF42=FH13)*(JM3:JM42="D"))+SUMPRODUCT((JC3:JC42=FH15)*(JF3:JF42=FH14)*(JM3:JM42="D"))+SUMPRODUCT((JC3:JC42=FH11)*(JF3:JF42=FH15)*(JM3:JM42="D"))+SUMPRODUCT((JC3:JC42=FH12)*(JF3:JF42=FH15)*(JM3:JM42="D"))+SUMPRODUCT((JC3:JC42=FH13)*(JF3:JF42=FH15)*(JM3:JM42="D"))+SUMPRODUCT((JC3:JC42=FH14)*(JF3:JF42=FH15)*(JM3:JM42="D"))</f>
        <v>0</v>
      </c>
      <c r="FK15" s="75">
        <f ca="1">SUMPRODUCT((JC3:JC42=FH15)*(JF3:JF42=FH11)*(JM3:JM42="L"))+SUMPRODUCT((JC3:JC42=FH15)*(JF3:JF42=FH12)*(JM3:JM42="L"))+SUMPRODUCT((JC3:JC42=FH15)*(JF3:JF42=FH13)*(JM3:JM42="L"))+SUMPRODUCT((JC3:JC42=FH15)*(JF3:JF42=FH14)*(JM3:JM42="L"))+SUMPRODUCT((JC3:JC42=FH11)*(JF3:JF42=FH15)*(JN3:JN42="L"))+SUMPRODUCT((JC3:JC42=FH12)*(JF3:JF42=FH15)*(JN3:JN42="L"))+SUMPRODUCT((JC3:JC42=FH13)*(JF3:JF42=FH15)*(JN3:JN42="L"))+SUMPRODUCT((JC3:JC42=FH14)*(JF3:JF42=FH15)*(JN3:JN42="L"))</f>
        <v>0</v>
      </c>
      <c r="FL15" s="75">
        <f ca="1">IF(FH15&lt;&gt;"",VLOOKUP(FH15,EI4:EM29,5,FALSE),0)</f>
        <v>0</v>
      </c>
      <c r="FM15" s="75">
        <f ca="1">IF(FH15&lt;&gt;"",VLOOKUP(FH15,EI4:EN29,6,FALSE),0)</f>
        <v>0</v>
      </c>
      <c r="FN15" s="75">
        <f ca="1">FL15-FM15+1000</f>
        <v>1000</v>
      </c>
      <c r="FO15" s="75">
        <f ca="1">IF(FH15&lt;&gt;"",VLOOKUP(FH15,EI4:EP29,8,FALSE),0)</f>
        <v>0</v>
      </c>
      <c r="FP15" s="75">
        <f ca="1">IF(FH15&lt;&gt;"",VLOOKUP(FH15,EI4:EQ29,9,FALSE),0)</f>
        <v>0</v>
      </c>
      <c r="FQ15" s="75">
        <f ca="1">IF(FH15&lt;&gt;"",FO15-FP15+1000,"")</f>
        <v>1000</v>
      </c>
      <c r="FR15" s="75">
        <f ca="1">IF(FH15&lt;&gt;"",VLOOKUP(FH15,EI11:EM15,5,FALSE),"")</f>
        <v>0</v>
      </c>
      <c r="FS15" s="75">
        <f ca="1">IF(FH15&lt;&gt;"",VLOOKUP(FH15,EI11:EP15,8,FALSE),"")</f>
        <v>0</v>
      </c>
      <c r="FT15" s="75">
        <f ca="1">IF(FH15&lt;&gt;"",VLOOKUP(FH15,EI11:EW15,15,FALSE),"")</f>
        <v>16</v>
      </c>
      <c r="FU15" s="75">
        <f ca="1">SUMPRODUCT((JC3:JC42=FH15)*(JF3:JF42=FH11)*JI3:JI42)+SUMPRODUCT((JC3:JC42=FH15)*(JF3:JF42=FH12)*JI3:JI42)+SUMPRODUCT((JC3:JC42=FH15)*(JF3:JF42=FH13)*JI3:JI42)+SUMPRODUCT((JC3:JC42=FH15)*(JF3:JF42=FH14)*JI3:JI42)+SUMPRODUCT((JC3:JC42=FH11)*(JF3:JF42=FH15)*JJ3:JJ42)+SUMPRODUCT((JC3:JC42=FH12)*(JF3:JF42=FH15)*JJ3:JJ42)+SUMPRODUCT((JC3:JC42=FH13)*(JF3:JF42=FH15)*JJ3:JJ42)+SUMPRODUCT((JC3:JC42=FH14)*(JF3:JF42=FH15)*JJ3:JJ42)</f>
        <v>0</v>
      </c>
      <c r="FV15" s="75">
        <f ca="1">SUMPRODUCT((JC3:JC42=FH15)*(JF3:JF42=FH11)*JK3:JK42)+SUMPRODUCT((JC3:JC42=FH15)*(JF3:JF42=FH12)*JK3:JK42)+SUMPRODUCT((JC3:JC42=FH15)*(JF3:JF42=FH13)*JK3:JK42)+SUMPRODUCT((JC3:JC42=FH15)*(JF3:JF42=FH14)*JK3:JK42)+SUMPRODUCT((JC3:JC42=FH11)*(JF3:JF42=FH15)*JL3:JL42)+SUMPRODUCT((JC3:JC42=FH12)*(JF3:JF42=FH15)*JL3:JL42)+SUMPRODUCT((JC3:JC42=FH13)*(JF3:JF42=FH15)*JL3:JL42)+SUMPRODUCT((JC3:JC42=FH14)*(JF3:JF42=FH15)*JL3:JL42)</f>
        <v>0</v>
      </c>
      <c r="FW15" s="75">
        <f ca="1">IF(FH15&lt;&gt;"",FI15*4+FJ15*2+FU15+FV15,"")</f>
        <v>0</v>
      </c>
      <c r="FX15" s="75">
        <f ca="1">IF(FH15&lt;&gt;"",RANK(FW15,FW11:FW15),"")</f>
        <v>1</v>
      </c>
      <c r="FY15" s="75">
        <f ca="1">SUMPRODUCT((FW11:FW15=FW15)*(FN11:FN15&gt;FN15))</f>
        <v>0</v>
      </c>
      <c r="FZ15" s="75">
        <f ca="1">SUMPRODUCT((FW11:FW15=FW15)*(FN11:FN15=FN15)*(FQ11:FQ15&gt;FQ15))</f>
        <v>0</v>
      </c>
      <c r="GA15" s="75">
        <f ca="1">SUMPRODUCT((FW11:FW15=FW15)*(FN11:FN15=FN15)*(FQ11:FQ15=FQ15)*(FR11:FR15&gt;FR15))</f>
        <v>0</v>
      </c>
      <c r="GB15" s="75">
        <f ca="1">SUMPRODUCT((FW11:FW15=FW15)*(FN11:FN15=FN15)*(FQ11:FQ15=FQ15)*(FR11:FR15=FR15)*(FS11:FS15&gt;FS15))</f>
        <v>0</v>
      </c>
      <c r="GC15" s="75">
        <f ca="1">SUMPRODUCT((FW11:FW15=FW15)*(FN11:FN15=FN15)*(FQ11:FQ15=FQ15)*(FR11:FR15=FR15)*(FS11:FS15=FS15)*(FT11:FT15&gt;FT15))</f>
        <v>0</v>
      </c>
      <c r="GD15" s="75">
        <f t="shared" ca="1" si="78"/>
        <v>1</v>
      </c>
      <c r="GE15" s="75" t="str">
        <f ca="1">IF(FH15&lt;&gt;"",INDEX(FH11:FH15,MATCH(5,GD11:GD15,0),0),"")</f>
        <v>South Africa</v>
      </c>
      <c r="GF15" s="75" t="str">
        <f ca="1">IF(FD14&lt;&gt;"",FD14,"")</f>
        <v/>
      </c>
      <c r="GG15" s="75" t="str">
        <f ca="1">IF(GF15&lt;&gt;"",SUMPRODUCT((JC3:JC42=GF15)*(JF3:JF42=GF12)*(JM3:JM42="W"))+SUMPRODUCT((JC3:JC42=GF15)*(JF3:JF42=GF13)*(JM3:JM42="W"))+SUMPRODUCT((JC3:JC42=GF15)*(JF3:JF42=GF14)*(JM3:JM42="W"))+SUMPRODUCT((JC3:JC42=GF12)*(JF3:JF42=GF15)*(JM3:JM42="W"))+SUMPRODUCT((JC3:JC42=GF13)*(JF3:JF42=GF15)*(JM3:JM42="W"))+SUMPRODUCT((JC3:JC42=GF14)*(JF3:JF42=GF15)*(JM3:JM42="W")),"")</f>
        <v/>
      </c>
      <c r="GH15" s="75" t="str">
        <f ca="1">IF(GF15&lt;&gt;"",SUMPRODUCT((JC3:JC42=GF15)*(JF3:JF42=GF12)*(JM3:JM42="D"))+SUMPRODUCT((JC3:JC42=GF15)*(JF3:JF42=GF13)*(JM3:JM42="D"))+SUMPRODUCT((JC3:JC42=GF15)*(JF3:JF42=GF14)*(JM3:JM42="D"))+SUMPRODUCT((JC3:JC42=GF12)*(JF3:JF42=GF15)*(JM3:JM42="D"))+SUMPRODUCT((JC3:JC42=GF13)*(JF3:JF42=GF15)*(JM3:JM42="D"))+SUMPRODUCT((JC3:JC42=GF14)*(JF3:JF42=GF15)*(JM3:JM42="D")),"")</f>
        <v/>
      </c>
      <c r="GI15" s="75" t="str">
        <f ca="1">IF(GF15&lt;&gt;"",SUMPRODUCT((JC3:JC42=GF15)*(JF3:JF42=GF12)*(JM3:JM42="L"))+SUMPRODUCT((JC3:JC42=GF15)*(JF3:JF42=GF13)*(JM3:JM42="L"))+SUMPRODUCT((JC3:JC42=GF15)*(JF3:JF42=GF14)*(JM3:JM42="L"))+SUMPRODUCT((JC3:JC42=GF12)*(JF3:JF42=GF15)*(JM3:JM42="L"))+SUMPRODUCT((JC3:JC42=GF13)*(JF3:JF42=GF15)*(JM3:JM42="L"))+SUMPRODUCT((JC3:JC42=GF14)*(JF3:JF42=GF15)*(JM3:JM42="L")),"")</f>
        <v/>
      </c>
      <c r="GJ15" s="75">
        <f ca="1">IF(GF15&lt;&gt;"",VLOOKUP(GF15,EI4:EM29,5,FALSE),0)</f>
        <v>0</v>
      </c>
      <c r="GK15" s="75">
        <f ca="1">IF(GF15&lt;&gt;"",VLOOKUP(GF15,EI4:EN29,6,FALSE),0)</f>
        <v>0</v>
      </c>
      <c r="GL15" s="75">
        <f ca="1">GJ15-GK15+1000</f>
        <v>1000</v>
      </c>
      <c r="GM15" s="75">
        <f ca="1">IF(GF15&lt;&gt;"",VLOOKUP(GF15,EI4:EP29,8,FALSE),0)</f>
        <v>0</v>
      </c>
      <c r="GN15" s="75">
        <f ca="1">IF(GF15&lt;&gt;"",VLOOKUP(GF15,EI4:EQ29,9,FALSE),0)</f>
        <v>0</v>
      </c>
      <c r="GO15" s="75" t="str">
        <f ca="1">IF(GF15&lt;&gt;"",GM15-GN15+1000,"")</f>
        <v/>
      </c>
      <c r="GP15" s="75" t="str">
        <f ca="1">IF(GF15&lt;&gt;"",VLOOKUP(GF15,EI11:EM15,5,FALSE),"")</f>
        <v/>
      </c>
      <c r="GQ15" s="75" t="str">
        <f ca="1">IF(GF15&lt;&gt;"",VLOOKUP(GF15,EI11:EP15,8,FALSE),"")</f>
        <v/>
      </c>
      <c r="GR15" s="75" t="str">
        <f ca="1">IF(GF15&lt;&gt;"",VLOOKUP(GF15,EI11:EW15,15,FALSE),"")</f>
        <v/>
      </c>
      <c r="GS15" s="75" t="str">
        <f ca="1">IF(GF15&lt;&gt;"",SUMPRODUCT((JC3:JC42=GF15)*(JF3:JF42=GF12)*JI3:JI42)+SUMPRODUCT((JC3:JC42=GF15)*(JF3:JF42=GF13)*JI3:JI42)+SUMPRODUCT((JC3:JC42=GF15)*(JF3:JF42=GF14)*JI3:JI42)+SUMPRODUCT((JC3:JC42=GF12)*(JF3:JF42=GF15)*JJ3:JJ42)+SUMPRODUCT((JC3:JC42=GF13)*(JF3:JF42=GF15)*JJ3:JJ42)+SUMPRODUCT((JC3:JC42=GF14)*(JF3:JF42=GF15)*JJ3:JJ42),"")</f>
        <v/>
      </c>
      <c r="GT15" s="75" t="str">
        <f ca="1">IF(GF15&lt;&gt;"",SUMPRODUCT((JC3:JC42=GF15)*(JF3:JF42=GF12)*JK3:JK42)+SUMPRODUCT((JC3:JC42=GF15)*(JF3:JF42=GF13)*JK3:JK42)+SUMPRODUCT((JC3:JC42=GF15)*(JF3:JF42=GF14)*JK3:JK42)+SUMPRODUCT((JC3:JC42=GF12)*(JF3:JF42=GF15)*JL3:JL42)+SUMPRODUCT((JC3:JC42=GF13)*(JF3:JF42=GF15)*JL3:JL42)+SUMPRODUCT((JC3:JC42=GF14)*(JF3:JF42=GF15)*JL3:JL42),"")</f>
        <v/>
      </c>
      <c r="GU15" s="75" t="str">
        <f ca="1">IF(GF15&lt;&gt;"",GG15*4+GH15*2+GS15+GT15,"")</f>
        <v/>
      </c>
      <c r="GV15" s="75" t="str">
        <f ca="1">IF(GF15&lt;&gt;"",RANK(GU15,GU12:GU15),"")</f>
        <v/>
      </c>
      <c r="GW15" s="75">
        <f ca="1">SUMPRODUCT((GU12:GU15=GU15)*(GL12:GL15&gt;GL15))</f>
        <v>0</v>
      </c>
      <c r="GX15" s="75">
        <f ca="1">SUMPRODUCT((GU12:GU15=GU15)*(GL12:GL15=GL15)*(GO12:GO15&gt;GO15))</f>
        <v>0</v>
      </c>
      <c r="GY15" s="75">
        <f ca="1">SUMPRODUCT((GU11:GU15=GU15)*(GL11:GL15=GL15)*(GO11:GO15=GO15)*(GP11:GP15&gt;GP15))</f>
        <v>0</v>
      </c>
      <c r="GZ15" s="75">
        <f ca="1">SUMPRODUCT((GU11:GU15=GU15)*(GL11:GL15=GL15)*(GO11:GO15=GO15)*(GP11:GP15=GP15)*(GQ11:GQ15&gt;GQ15))</f>
        <v>0</v>
      </c>
      <c r="HA15" s="75">
        <f ca="1">SUMPRODUCT((GU11:GU15=GU15)*(GL11:GL15=GL15)*(GO11:GO15=GO15)*(GP11:GP15=GP15)*(GQ11:GQ15=GQ15)*(GR11:GR15&gt;GR15))</f>
        <v>0</v>
      </c>
      <c r="HB15" s="75" t="str">
        <f t="shared" ca="1" si="79"/>
        <v/>
      </c>
      <c r="HC15" s="75" t="str">
        <f ca="1">IF(GF15&lt;&gt;"",INDEX(GF12:GF15,MATCH(5,HB12:HB15,0),0),"")</f>
        <v/>
      </c>
      <c r="HD15" s="75" t="str">
        <f ca="1">IF(FE13&lt;&gt;"",FE13,"")</f>
        <v/>
      </c>
      <c r="HE15" s="75" t="str">
        <f ca="1">IF(HD15&lt;&gt;"",SUMPRODUCT((JC3:JC42=HD15)*(JF3:JF42=HD16)*(JM3:JM42="W"))+SUMPRODUCT((JC3:JC42=HD15)*(JF3:JF42=HD13)*(JM3:JM42="W"))+SUMPRODUCT((JC3:JC42=HD15)*(JF3:JF42=HD14)*(JM3:JM42="W"))+SUMPRODUCT((JC3:JC42=HD16)*(JF3:JF42=HD15)*(JN3:JN42="W"))+SUMPRODUCT((JC3:JC42=HD13)*(JF3:JF42=HD15)*(JN3:JN42="W"))+SUMPRODUCT((JC3:JC42=HD14)*(JF3:JF42=HD15)*(JN3:JN42="W")),"")</f>
        <v/>
      </c>
      <c r="HF15" s="75" t="str">
        <f ca="1">IF(HD15&lt;&gt;"",SUMPRODUCT((JC3:JC42=HD15)*(JF3:JF42=HD16)*(JM3:JM42="D"))+SUMPRODUCT((JC3:JC42=HD15)*(JF3:JF42=HD13)*(JM3:JM42="D"))+SUMPRODUCT((JC3:JC42=HD15)*(JF3:JF42=HD14)*(JM3:JM42="D"))+SUMPRODUCT((JC3:JC42=HD16)*(JF3:JF42=HD15)*(JM3:JM42="D"))+SUMPRODUCT((JC3:JC42=HD13)*(JF3:JF42=HD15)*(JM3:JM42="D"))+SUMPRODUCT((JC3:JC42=HD14)*(JF3:JF42=HD15)*(JM3:JM42="D")),"")</f>
        <v/>
      </c>
      <c r="HG15" s="75" t="str">
        <f ca="1">IF(HD15&lt;&gt;"",SUMPRODUCT((JC3:JC42=HD15)*(JF3:JF42=HD16)*(JM3:JM42="L"))+SUMPRODUCT((JC3:JC42=HD15)*(JF3:JF42=HD13)*(JM3:JM42="L"))+SUMPRODUCT((JC3:JC42=HD15)*(JF3:JF42=HD14)*(JM3:JM42="L"))+SUMPRODUCT((JC3:JC42=HD16)*(JF3:JF42=HD15)*(JN3:JN42="L"))+SUMPRODUCT((JC3:JC42=HD13)*(JF3:JF42=HD15)*(JN3:JN42="L"))+SUMPRODUCT((JC3:JC42=HD14)*(JF3:JF42=HD15)*(JN3:JN42="L")),"")</f>
        <v/>
      </c>
      <c r="HH15" s="75">
        <f ca="1">IF(HD15&lt;&gt;"",VLOOKUP(HD15,EI4:EM29,5,FALSE),0)</f>
        <v>0</v>
      </c>
      <c r="HI15" s="75">
        <f ca="1">IF(HD15&lt;&gt;"",VLOOKUP(HD15,EI4:EN29,6,FALSE),0)</f>
        <v>0</v>
      </c>
      <c r="HJ15" s="75">
        <f ca="1">HH15-HI15+1000</f>
        <v>1000</v>
      </c>
      <c r="HK15" s="75">
        <f ca="1">IF(HD15&lt;&gt;"",VLOOKUP(HD15,EI4:EP29,8,FALSE),0)</f>
        <v>0</v>
      </c>
      <c r="HL15" s="75">
        <f ca="1">IF(HD15&lt;&gt;"",VLOOKUP(HD15,EI4:EQ29,9,FALSE),0)</f>
        <v>0</v>
      </c>
      <c r="HM15" s="75" t="str">
        <f ca="1">IF(HD15&lt;&gt;"",HK15-HL15+1000,"")</f>
        <v/>
      </c>
      <c r="HN15" s="75" t="str">
        <f ca="1">IF(HD15&lt;&gt;"",VLOOKUP(HD15,EI11:EM15,5,FALSE),"")</f>
        <v/>
      </c>
      <c r="HO15" s="75" t="str">
        <f ca="1">IF(HD15&lt;&gt;"",VLOOKUP(HD15,EI11:EP15,8,FALSE),"")</f>
        <v/>
      </c>
      <c r="HP15" s="75" t="str">
        <f ca="1">IF(HD15&lt;&gt;"",VLOOKUP(HD15,EI11:EW15,15,FALSE),"")</f>
        <v/>
      </c>
      <c r="HQ15" s="75" t="str">
        <f ca="1">IF(HD15&lt;&gt;"",SUMPRODUCT((JC3:JC42=HD15)*(JF3:JF42=HD16)*JI3:JI42)+SUMPRODUCT((JC3:JC42=HD15)*(JF3:JF42=HD13)*JI3:JI42)+SUMPRODUCT((JC3:JC42=HD15)*(JF3:JF42=HD14)*JI3:JI42)+SUMPRODUCT((JC3:JC42=HD16)*(JF3:JF42=HD15)*JJ3:JJ42)+SUMPRODUCT((JC3:JC42=HD13)*(JF3:JF42=HD15)*JJ3:JJ42)+SUMPRODUCT((JC3:JC42=HD14)*(JF3:JF42=HD15)*JJ3:JJ42),"")</f>
        <v/>
      </c>
      <c r="HR15" s="75" t="str">
        <f ca="1">IF(HD15&lt;&gt;"",SUMPRODUCT((JC3:JC42=HD15)*(JF3:JF42=HD16)*JK3:JK42)+SUMPRODUCT((JC3:JC42=HD15)*(JF3:JF42=HD13)*JK3:JK42)+SUMPRODUCT((JC3:JC42=HD15)*(JF3:JF42=HD14)*JK3:JK42)+SUMPRODUCT((JC3:JC42=HD16)*(JF3:JF42=HD15)*JL3:JL42)+SUMPRODUCT((JC3:JC42=HD13)*(JF3:JF42=HD15)*JL3:JL42)+SUMPRODUCT((JC3:JC42=HD14)*(JF3:JF42=HD15)*JL3:JL42),"")</f>
        <v/>
      </c>
      <c r="HS15" s="75" t="str">
        <f ca="1">IF(HD15&lt;&gt;"",HE15*4+HF15*2+HQ15+HR15,"")</f>
        <v/>
      </c>
      <c r="HT15" s="75" t="str">
        <f ca="1">IF(HD15&lt;&gt;"",RANK(HS15,HS13:HS16),"")</f>
        <v/>
      </c>
      <c r="HU15" s="75">
        <f ca="1">SUMPRODUCT((HS13:HS16=HS15)*(HJ13:HJ16&gt;HJ15))</f>
        <v>0</v>
      </c>
      <c r="HV15" s="75">
        <f ca="1">SUMPRODUCT((HS13:HS16=HS15)*(HJ13:HJ16=HJ15)*(HM13:HM16&gt;HM15))</f>
        <v>0</v>
      </c>
      <c r="HW15" s="75">
        <f ca="1">SUMPRODUCT((HS11:HS15=HS15)*(HJ11:HJ15=HJ15)*(HM11:HM15=HM15)*(HN11:HN15&gt;HN15))</f>
        <v>0</v>
      </c>
      <c r="HX15" s="75">
        <f ca="1">SUMPRODUCT((HS11:HS15=HS15)*(HJ11:HJ15=HJ15)*(HM11:HM15=HM15)*(HN11:HN15=HN15)*(HO11:HO15&gt;HO15))</f>
        <v>0</v>
      </c>
      <c r="HY15" s="75">
        <f ca="1">SUMPRODUCT((HS11:HS15=HS15)*(HJ11:HJ15=HJ15)*(HM11:HM15=HM15)*(HN11:HN15=HN15)*(HO11:HO15=HO15)*(HP11:HP15&gt;HP15))</f>
        <v>0</v>
      </c>
      <c r="HZ15" s="75" t="str">
        <f t="shared" ca="1" si="83"/>
        <v/>
      </c>
      <c r="IA15" s="75" t="str">
        <f ca="1">IF(HD15&lt;&gt;"",INDEX(HD13:HD15,MATCH(5,HZ13:HZ15,0),0),"")</f>
        <v/>
      </c>
      <c r="IB15" s="75" t="str">
        <f ca="1">IF(FF12&lt;&gt;"",FF12,"")</f>
        <v/>
      </c>
      <c r="IC15" s="75">
        <f ca="1">SUMPRODUCT((JC3:JC42=IB15)*(JF3:JF42=IB16)*(JM3:JM42="W"))+SUMPRODUCT((JC3:JC42=IB15)*(JF3:JF42=IB17)*(JM3:JM42="W"))+SUMPRODUCT((JC3:JC42=IB15)*(JF3:JF42=IB14)*(JM3:JM42="W"))+SUMPRODUCT((JC3:JC42=IB16)*(JF3:JF42=IB15)*(JN3:JN42="W"))+SUMPRODUCT((JC3:JC42=IB17)*(JF3:JF42=IB15)*(JN3:JN42="W"))+SUMPRODUCT((JC3:JC42=IB14)*(JF3:JF42=IB15)*(JN3:JN42="W"))</f>
        <v>0</v>
      </c>
      <c r="ID15" s="75">
        <f ca="1">SUMPRODUCT((JC3:JC42=IB15)*(JF3:JF42=IB16)*(JM3:JM42="D"))+SUMPRODUCT((JC3:JC42=IB15)*(JF3:JF42=IB17)*(JM3:JM42="D"))+SUMPRODUCT((JC3:JC42=IB15)*(JF3:JF42=IB14)*(JM3:JM42="D"))+SUMPRODUCT((JC3:JC42=IB16)*(JF3:JF42=IB15)*(JM3:JM42="D"))+SUMPRODUCT((JC3:JC42=IB17)*(JF3:JF42=IB15)*(JM3:JM42="D"))+SUMPRODUCT((JC3:JC42=IB14)*(JF3:JF42=IB15)*(JM3:JM42="D"))</f>
        <v>0</v>
      </c>
      <c r="IE15" s="75">
        <f ca="1">SUMPRODUCT((JC3:JC42=IB15)*(JF3:JF42=IB16)*(JM3:JM42="L"))+SUMPRODUCT((JC3:JC42=IB15)*(JF3:JF42=IB17)*(JM3:JM42="L"))+SUMPRODUCT((JC3:JC42=IB15)*(JF3:JF42=IB14)*(JM3:JM42="L"))+SUMPRODUCT((JC3:JC42=IB16)*(JF3:JF42=IB15)*(JN3:JN42="L"))+SUMPRODUCT((JC3:JC42=IB17)*(JF3:JF42=IB15)*(JN3:JN42="L"))+SUMPRODUCT((JC3:JC42=IB14)*(JF3:JF42=IB15)*(JN3:JN42="L"))</f>
        <v>0</v>
      </c>
      <c r="IF15" s="75">
        <f ca="1">IF(IB15&lt;&gt;"",VLOOKUP(IB15,EI4:EM29,5,FALSE),0)</f>
        <v>0</v>
      </c>
      <c r="IG15" s="75">
        <f ca="1">IF(IB15&lt;&gt;"",VLOOKUP(IB15,EI4:EN29,6,FALSE),0)</f>
        <v>0</v>
      </c>
      <c r="IH15" s="75">
        <f ca="1">IF15-IG15+1000</f>
        <v>1000</v>
      </c>
      <c r="II15" s="75">
        <f ca="1">IF(IB15&lt;&gt;"",VLOOKUP(IB15,EI4:EP29,8,FALSE),0)</f>
        <v>0</v>
      </c>
      <c r="IJ15" s="75">
        <f ca="1">IF(IB15&lt;&gt;"",VLOOKUP(IB15,EI4:EQ29,9,FALSE),0)</f>
        <v>0</v>
      </c>
      <c r="IK15" s="75">
        <f t="shared" ref="IK15" ca="1" si="92">II15-IJ15+1000</f>
        <v>1000</v>
      </c>
      <c r="IL15" s="75" t="str">
        <f ca="1">IF(IB15&lt;&gt;"",VLOOKUP(IB15,EI11:EM15,5,FALSE),"")</f>
        <v/>
      </c>
      <c r="IM15" s="75" t="str">
        <f ca="1">IF(IB15&lt;&gt;"",VLOOKUP(IB15,EI11:EP15,8,FALSE),"")</f>
        <v/>
      </c>
      <c r="IN15" s="75" t="str">
        <f ca="1">IF(IB15&lt;&gt;"",VLOOKUP(IB15,EI11:EW15,15,FALSE),"")</f>
        <v/>
      </c>
      <c r="IO15" s="75">
        <f ca="1">SUMPRODUCT((JC3:JC42=IB15)*(JF3:JF42=IB16)*JI3:JI42)+SUMPRODUCT((JC3:JC42=IB15)*(JF3:JF42=IB17)*JI3:JI42)+SUMPRODUCT((JC3:JC42=IB15)*(JF3:JF42=IB14)*JI3:JI42)+SUMPRODUCT((JC3:JC42=IB16)*(JF3:JF42=IB15)*JJ3:JJ42)+SUMPRODUCT((JC3:JC42=IB17)*(JF3:JF42=IB15)*JJ3:JJ42)+SUMPRODUCT((JC3:JC42=IB14)*(JF3:JF42=IB15)*JJ3:JJ42)</f>
        <v>0</v>
      </c>
      <c r="IP15" s="75">
        <f ca="1">SUMPRODUCT((JC3:JC42=IB15)*(JF3:JF42=IB16)*JK3:JK42)+SUMPRODUCT((JC3:JC42=IB15)*(JF3:JF42=IB17)*JK3:JK42)+SUMPRODUCT((JC3:JC42=IB15)*(JF3:JF42=IB14)*JK3:JK42)+SUMPRODUCT((JC3:JC42=IB16)*(JF3:JF42=IB15)*JL3:JL42)+SUMPRODUCT((JC3:JC42=IB17)*(JF3:JF42=IB15)*JL3:JL42)+SUMPRODUCT((JC3:JC42=IB14)*(JF3:JF42=IB15)*JL3:JL42)</f>
        <v>0</v>
      </c>
      <c r="IQ15" s="75">
        <f t="shared" ref="IQ15" ca="1" si="93">IC15*4+ID15*2+IO15+IP15</f>
        <v>0</v>
      </c>
      <c r="IR15" s="75" t="str">
        <f ca="1">IF(IB15&lt;&gt;"",RANK(IQ15,IQ14:IQ17),"")</f>
        <v/>
      </c>
      <c r="IS15" s="75">
        <f ca="1">SUMPRODUCT((IQ14:IQ17=IQ15)*(IH14:IH17&gt;IH15))</f>
        <v>0</v>
      </c>
      <c r="IT15" s="75">
        <f ca="1">SUMPRODUCT((IQ14:IQ17=IQ15)*(IH14:IH17=IH15)*(IK14:IK17&gt;IK15))</f>
        <v>0</v>
      </c>
      <c r="IU15" s="75">
        <f ca="1">SUMPRODUCT((IQ11:IQ15=IQ15)*(IH11:IH15=IH15)*(IK11:IK15=IK15)*(IL11:IL15&gt;IL15))</f>
        <v>0</v>
      </c>
      <c r="IV15" s="75">
        <f ca="1">SUMPRODUCT((IQ11:IQ15=IQ15)*(IH11:IH15=IH15)*(IK11:IK15=IK15)*(IL11:IL15=IL15)*(IM11:IM15&gt;IM15))</f>
        <v>0</v>
      </c>
      <c r="IW15" s="75">
        <f ca="1">SUMPRODUCT((IQ11:IQ15=IQ15)*(IH11:IH15=IH15)*(IK11:IK15=IK15)*(IL11:IL15=IL15)*(IM11:IM15=IM15)*(IN11:IN15&gt;IN15))</f>
        <v>0</v>
      </c>
      <c r="IX15" s="75" t="str">
        <f t="shared" ca="1" si="89"/>
        <v/>
      </c>
      <c r="IY15" s="75" t="str">
        <f ca="1">IF(IB14&lt;&gt;"",IF(IB14=IY14,IB15,IB14),"")</f>
        <v/>
      </c>
      <c r="IZ15" s="75" t="str">
        <f ca="1">IF(IY15&lt;&gt;"",IY15,IF(IA15&lt;&gt;"",IA15,IF(HC15&lt;&gt;"",HC15,IF(GE15&lt;&gt;"",GE15,FA15))))</f>
        <v>South Africa</v>
      </c>
      <c r="JA15" s="75">
        <v>5</v>
      </c>
      <c r="JB15" s="75">
        <v>13</v>
      </c>
      <c r="JC15" s="75" t="str">
        <f t="shared" si="4"/>
        <v>Argentina</v>
      </c>
      <c r="JD15" s="75" t="str">
        <f ca="1">IF(OFFSET('Prediction Sheet'!$W25,0,JD$1)&lt;&gt;"",OFFSET('Prediction Sheet'!$W25,0,JD$1),"")</f>
        <v/>
      </c>
      <c r="JE15" s="75" t="str">
        <f ca="1">IF(OFFSET('Prediction Sheet'!$Y25,0,JD$1)&lt;&gt;"",OFFSET('Prediction Sheet'!$Y25,0,JD$1),"")</f>
        <v/>
      </c>
      <c r="JF15" s="75" t="str">
        <f t="shared" si="5"/>
        <v>Georgia</v>
      </c>
      <c r="JG15" s="75" t="str">
        <f ca="1">IF(OFFSET('Prediction Sheet'!$AA25,0,JF$1)&lt;&gt;"",OFFSET('Prediction Sheet'!$AA25,0,JF$1),"")</f>
        <v/>
      </c>
      <c r="JH15" s="75" t="str">
        <f ca="1">IF(OFFSET('Prediction Sheet'!$AC25,0,JG$1)&lt;&gt;"",OFFSET('Prediction Sheet'!$AC25,0,JG$1),"")</f>
        <v/>
      </c>
      <c r="JI15" s="75">
        <f t="shared" ca="1" si="6"/>
        <v>0</v>
      </c>
      <c r="JJ15" s="75">
        <f t="shared" ca="1" si="7"/>
        <v>0</v>
      </c>
      <c r="JK15" s="75">
        <f t="shared" ca="1" si="8"/>
        <v>0</v>
      </c>
      <c r="JL15" s="75">
        <f t="shared" ca="1" si="9"/>
        <v>0</v>
      </c>
      <c r="JM15" s="75" t="str">
        <f t="shared" ca="1" si="10"/>
        <v/>
      </c>
      <c r="JN15" s="75" t="str">
        <f t="shared" ca="1" si="11"/>
        <v/>
      </c>
    </row>
    <row r="16" spans="1:274" x14ac:dyDescent="0.2">
      <c r="DU16" s="75">
        <v>14</v>
      </c>
      <c r="DV16" s="75" t="str">
        <f>Tournament!H26</f>
        <v>Italy</v>
      </c>
      <c r="DW16" s="75">
        <f>IF(AND(Tournament!J26&lt;&gt;"",Tournament!L26&lt;&gt;""),Tournament!J26,0)</f>
        <v>0</v>
      </c>
      <c r="DX16" s="75">
        <f>IF(AND(Tournament!L26&lt;&gt;"",Tournament!J26&lt;&gt;""),Tournament!L26,0)</f>
        <v>0</v>
      </c>
      <c r="DY16" s="75" t="str">
        <f>Tournament!N26</f>
        <v>Canada</v>
      </c>
      <c r="DZ16" s="75">
        <f>IF(Tournament!O26&lt;&gt;"",Tournament!O26,0)</f>
        <v>0</v>
      </c>
      <c r="EA16" s="75">
        <f>IF(Tournament!Q26&lt;&gt;"",Tournament!Q26,0)</f>
        <v>0</v>
      </c>
      <c r="EB16" s="75">
        <f>IF(DW16&lt;&gt;"",IF(Tournament!O26&gt;3,1,0),0)</f>
        <v>1</v>
      </c>
      <c r="EC16" s="75">
        <f>IF(DX16&lt;&gt;"",IF(Tournament!Q26&gt;3,1,0),0)</f>
        <v>1</v>
      </c>
      <c r="ED16" s="75">
        <f t="shared" si="1"/>
        <v>0</v>
      </c>
      <c r="EE16" s="75">
        <f t="shared" si="2"/>
        <v>0</v>
      </c>
      <c r="EF16" s="75" t="str">
        <f>IF(AND(Tournament!J26&lt;&gt;"",Tournament!L26&lt;&gt;""),IF(DW16&gt;DX16,"W",IF(DW16=DX16,"D","L")),"")</f>
        <v/>
      </c>
      <c r="EG16" s="75" t="str">
        <f t="shared" si="3"/>
        <v/>
      </c>
      <c r="JB16" s="75">
        <v>14</v>
      </c>
      <c r="JC16" s="75" t="str">
        <f t="shared" si="4"/>
        <v>Italy</v>
      </c>
      <c r="JD16" s="75" t="str">
        <f ca="1">IF(OFFSET('Prediction Sheet'!$W26,0,JD$1)&lt;&gt;"",OFFSET('Prediction Sheet'!$W26,0,JD$1),"")</f>
        <v/>
      </c>
      <c r="JE16" s="75" t="str">
        <f ca="1">IF(OFFSET('Prediction Sheet'!$Y26,0,JD$1)&lt;&gt;"",OFFSET('Prediction Sheet'!$Y26,0,JD$1),"")</f>
        <v/>
      </c>
      <c r="JF16" s="75" t="str">
        <f t="shared" si="5"/>
        <v>Canada</v>
      </c>
      <c r="JG16" s="75" t="str">
        <f ca="1">IF(OFFSET('Prediction Sheet'!$AA26,0,JF$1)&lt;&gt;"",OFFSET('Prediction Sheet'!$AA26,0,JF$1),"")</f>
        <v/>
      </c>
      <c r="JH16" s="75" t="str">
        <f ca="1">IF(OFFSET('Prediction Sheet'!$AC26,0,JG$1)&lt;&gt;"",OFFSET('Prediction Sheet'!$AC26,0,JG$1),"")</f>
        <v/>
      </c>
      <c r="JI16" s="75">
        <f t="shared" ca="1" si="6"/>
        <v>0</v>
      </c>
      <c r="JJ16" s="75">
        <f t="shared" ca="1" si="7"/>
        <v>0</v>
      </c>
      <c r="JK16" s="75">
        <f t="shared" ca="1" si="8"/>
        <v>0</v>
      </c>
      <c r="JL16" s="75">
        <f t="shared" ca="1" si="9"/>
        <v>0</v>
      </c>
      <c r="JM16" s="75" t="str">
        <f t="shared" ca="1" si="10"/>
        <v/>
      </c>
      <c r="JN16" s="75" t="str">
        <f t="shared" ca="1" si="11"/>
        <v/>
      </c>
    </row>
    <row r="17" spans="1:274" x14ac:dyDescent="0.2">
      <c r="DU17" s="75">
        <v>15</v>
      </c>
      <c r="DV17" s="75" t="str">
        <f>Tournament!H27</f>
        <v>South Africa</v>
      </c>
      <c r="DW17" s="75">
        <f>IF(AND(Tournament!J27&lt;&gt;"",Tournament!L27&lt;&gt;""),Tournament!J27,0)</f>
        <v>0</v>
      </c>
      <c r="DX17" s="75">
        <f>IF(AND(Tournament!L27&lt;&gt;"",Tournament!J27&lt;&gt;""),Tournament!L27,0)</f>
        <v>0</v>
      </c>
      <c r="DY17" s="75" t="str">
        <f>Tournament!N27</f>
        <v>Samoa</v>
      </c>
      <c r="DZ17" s="75">
        <f>IF(Tournament!O27&lt;&gt;"",Tournament!O27,0)</f>
        <v>0</v>
      </c>
      <c r="EA17" s="75">
        <f>IF(Tournament!Q27&lt;&gt;"",Tournament!Q27,0)</f>
        <v>0</v>
      </c>
      <c r="EB17" s="75">
        <f>IF(DW17&lt;&gt;"",IF(Tournament!O27&gt;3,1,0),0)</f>
        <v>1</v>
      </c>
      <c r="EC17" s="75">
        <f>IF(DX17&lt;&gt;"",IF(Tournament!Q27&gt;3,1,0),0)</f>
        <v>1</v>
      </c>
      <c r="ED17" s="75">
        <f t="shared" si="1"/>
        <v>0</v>
      </c>
      <c r="EE17" s="75">
        <f t="shared" si="2"/>
        <v>0</v>
      </c>
      <c r="EF17" s="75" t="str">
        <f>IF(AND(Tournament!J27&lt;&gt;"",Tournament!L27&lt;&gt;""),IF(DW17&gt;DX17,"W",IF(DW17=DX17,"D","L")),"")</f>
        <v/>
      </c>
      <c r="EG17" s="75" t="str">
        <f t="shared" si="3"/>
        <v/>
      </c>
      <c r="JB17" s="75">
        <v>15</v>
      </c>
      <c r="JC17" s="75" t="str">
        <f t="shared" si="4"/>
        <v>South Africa</v>
      </c>
      <c r="JD17" s="75" t="str">
        <f ca="1">IF(OFFSET('Prediction Sheet'!$W27,0,JD$1)&lt;&gt;"",OFFSET('Prediction Sheet'!$W27,0,JD$1),"")</f>
        <v/>
      </c>
      <c r="JE17" s="75" t="str">
        <f ca="1">IF(OFFSET('Prediction Sheet'!$Y27,0,JD$1)&lt;&gt;"",OFFSET('Prediction Sheet'!$Y27,0,JD$1),"")</f>
        <v/>
      </c>
      <c r="JF17" s="75" t="str">
        <f t="shared" si="5"/>
        <v>Samoa</v>
      </c>
      <c r="JG17" s="75" t="str">
        <f ca="1">IF(OFFSET('Prediction Sheet'!$AA27,0,JF$1)&lt;&gt;"",OFFSET('Prediction Sheet'!$AA27,0,JF$1),"")</f>
        <v/>
      </c>
      <c r="JH17" s="75" t="str">
        <f ca="1">IF(OFFSET('Prediction Sheet'!$AC27,0,JG$1)&lt;&gt;"",OFFSET('Prediction Sheet'!$AC27,0,JG$1),"")</f>
        <v/>
      </c>
      <c r="JI17" s="75">
        <f t="shared" ca="1" si="6"/>
        <v>0</v>
      </c>
      <c r="JJ17" s="75">
        <f t="shared" ca="1" si="7"/>
        <v>0</v>
      </c>
      <c r="JK17" s="75">
        <f t="shared" ca="1" si="8"/>
        <v>0</v>
      </c>
      <c r="JL17" s="75">
        <f t="shared" ca="1" si="9"/>
        <v>0</v>
      </c>
      <c r="JM17" s="75" t="str">
        <f t="shared" ca="1" si="10"/>
        <v/>
      </c>
      <c r="JN17" s="75" t="str">
        <f t="shared" ca="1" si="11"/>
        <v/>
      </c>
    </row>
    <row r="18" spans="1:274" x14ac:dyDescent="0.2">
      <c r="A18" s="75">
        <f>VLOOKUP(B18,DS18:DT22,2,FALSE)</f>
        <v>5</v>
      </c>
      <c r="B18" s="75" t="s">
        <v>44</v>
      </c>
      <c r="C18" s="75">
        <f t="shared" ref="C18:C22" si="94">COUNTIFS($DV$3:$DV$42,B18,$EF$3:$EF$42,"W")+COUNTIFS($DY$3:$DY$42,B18,$EG$3:$EG$42,"W")</f>
        <v>0</v>
      </c>
      <c r="D18" s="75">
        <f t="shared" ref="D18:D22" si="95">COUNTIFS($DV$3:$DV$42,B18,$EF$3:$EF$42,"D")+COUNTIFS($DY$3:$DY$42,B18,$EG$3:$EG$42,"D")</f>
        <v>0</v>
      </c>
      <c r="E18" s="75">
        <f t="shared" ref="E18:E22" si="96">COUNTIFS($DV$3:$DV$42,B18,$EF$3:$EF$42,"L")+COUNTIFS($DY$3:$DY$42,B18,$EG$3:$EG$42,"L")</f>
        <v>0</v>
      </c>
      <c r="F18" s="75">
        <f>SUMIF($DV$3:$DV$60,B18,$DW$3:$DW$60)+SUMIF($DY$3:$DY$60,B18,$DX$3:$DX$60)</f>
        <v>0</v>
      </c>
      <c r="G18" s="75">
        <f>SUMIF($DY$3:$DY$60,B18,$DW$3:$DW$60)+SUMIF($DV$3:$DV$60,B18,$DX$3:$DX$60)</f>
        <v>0</v>
      </c>
      <c r="H18" s="75">
        <f t="shared" ref="H18:H22" si="97">F18-G18+1000</f>
        <v>1000</v>
      </c>
      <c r="I18" s="75">
        <f>SUMIF(Tournament!$H$13:$H$52,B18,Tournament!$O$13:$O$52)+SUMIF(Tournament!$N$13:$N$52,B18,Tournament!$Q$13:$Q$52)</f>
        <v>0</v>
      </c>
      <c r="J18" s="75">
        <f>SUMIF(Tournament!$N$13:$N$52,B18,Tournament!$O$13:$O$52)+SUMIF(Tournament!$H$13:$H$52,B18,Tournament!$Q$13:$Q$52)</f>
        <v>0</v>
      </c>
      <c r="K18" s="75">
        <f t="shared" ref="K18:K22" si="98">I18-J18+1000</f>
        <v>1000</v>
      </c>
      <c r="L18" s="75">
        <f t="shared" ref="L18:L22" si="99">C18*4+D18*2</f>
        <v>0</v>
      </c>
      <c r="M18" s="75">
        <f>SUMIF(DV:DV,B18,EB:EB)+SUMIF(DY:DY,B18,EC:EC)</f>
        <v>4</v>
      </c>
      <c r="N18" s="75">
        <f>SUMIF(DV:DV,B18,ED:ED)+SUMIF(DY:DY,B18,EE:EE)</f>
        <v>0</v>
      </c>
      <c r="O18" s="75">
        <f t="shared" ref="O18:O22" si="100">N18+M18+L18</f>
        <v>4</v>
      </c>
      <c r="P18" s="75">
        <v>1</v>
      </c>
      <c r="Q18" s="75">
        <f>RANK(O18,O$18:O$22)</f>
        <v>1</v>
      </c>
      <c r="S18" s="75">
        <f>RANK(O18,$O$18:$O$22)+COUNTIF($O$18:O18,O18)-1</f>
        <v>1</v>
      </c>
      <c r="T18" s="75" t="str">
        <f>INDEX($B$18:$B$22,MATCH(1,$S$18:$S$22,0),0)</f>
        <v>New Zealand</v>
      </c>
      <c r="U18" s="75">
        <f>INDEX($Q$18:$Q$22,MATCH(T18,$B$18:$B$22,0),0)</f>
        <v>1</v>
      </c>
      <c r="V18" s="75" t="str">
        <f>IF(U19=1,T18,"")</f>
        <v>New Zealand</v>
      </c>
      <c r="W18" s="75" t="str">
        <f>IF(U20=2,T19,"")</f>
        <v/>
      </c>
      <c r="X18" s="75" t="str">
        <f>IF(U21=3,T20,"")</f>
        <v/>
      </c>
      <c r="Y18" s="75" t="str">
        <f>IF(U22=4,T21,"")</f>
        <v/>
      </c>
      <c r="AA18" s="75" t="str">
        <f>IF(V18&lt;&gt;"",V18,"")</f>
        <v>New Zealand</v>
      </c>
      <c r="AB18" s="75">
        <f>SUMPRODUCT((DV3:DV42=AA18)*(DY3:DY42=AA19)*(EF3:EF42="W"))+SUMPRODUCT((DV3:DV42=AA18)*(DY3:DY42=AA20)*(EF3:EF42="W"))+SUMPRODUCT((DV3:DV42=AA18)*(DY3:DY42=AA21)*(EF3:EF42="W"))+SUMPRODUCT((DV3:DV42=AA18)*(DY3:DY42=AA22)*(EF3:EF42="W"))+SUMPRODUCT((DV3:DV42=AA19)*(DY3:DY42=AA18)*(EG3:EG42="W"))+SUMPRODUCT((DV3:DV42=AA20)*(DY3:DY42=AA18)*(EG3:EG42="W"))+SUMPRODUCT((DV3:DV42=AA21)*(DY3:DY42=AA18)*(EG3:EG42="W"))+SUMPRODUCT((DV3:DV42=AA22)*(DY3:DY42=AA18)*(EG3:EG42="W"))</f>
        <v>0</v>
      </c>
      <c r="AC18" s="75">
        <f>SUMPRODUCT((DV3:DV42=AA18)*(DY3:DY42=AA19)*(EF3:EF42="D"))+SUMPRODUCT((DV3:DV42=AA18)*(DY3:DY42=AA20)*(EF3:EF42="D"))+SUMPRODUCT((DV3:DV42=AA18)*(DY3:DY42=AA21)*(EF3:EF42="D"))+SUMPRODUCT((DV3:DV42=AA18)*(DY3:DY42=AA22)*(EF3:EF42="D"))+SUMPRODUCT((DV3:DV42=AA19)*(DY3:DY42=AA18)*(EF3:EF42="D"))+SUMPRODUCT((DV3:DV42=AA20)*(DY3:DY42=AA18)*(EF3:EF42="D"))+SUMPRODUCT((DV3:DV42=AA21)*(DY3:DY42=AA18)*(EF3:EF42="D"))+SUMPRODUCT((DV3:DV42=AA22)*(DY3:DY42=AA18)*(EF3:EF42="D"))</f>
        <v>0</v>
      </c>
      <c r="AD18" s="75">
        <f>SUMPRODUCT((DV3:DV42=AA18)*(DY3:DY42=AA19)*(EF3:EF42="L"))+SUMPRODUCT((DV3:DV42=AA18)*(DY3:DY42=AA20)*(EF3:EF42="L"))+SUMPRODUCT((DV3:DV42=AA18)*(DY3:DY42=AA21)*(EF3:EF42="L"))+SUMPRODUCT((DV3:DV42=AA18)*(DY3:DY42=AA22)*(EF3:EF42="L"))+SUMPRODUCT((DV3:DV42=AA19)*(DY3:DY42=AA18)*(EG3:EG42="L"))+SUMPRODUCT((DV3:DV42=AA20)*(DY3:DY42=AA18)*(EG3:EG42="L"))+SUMPRODUCT((DV3:DV42=AA21)*(DY3:DY42=AA18)*(EG3:EG42="L"))+SUMPRODUCT((DV3:DV42=AA22)*(DY3:DY42=AA18)*(EG3:EG42="L"))</f>
        <v>0</v>
      </c>
      <c r="AE18" s="75">
        <f>IF(AA18&lt;&gt;"",VLOOKUP(AA18,B4:F29,5,FALSE),0)</f>
        <v>0</v>
      </c>
      <c r="AF18" s="75">
        <f>IF(AA18&lt;&gt;"",VLOOKUP(AA18,B4:G29,6,FALSE),0)</f>
        <v>0</v>
      </c>
      <c r="AG18" s="75">
        <f>AE18-AF18+1000</f>
        <v>1000</v>
      </c>
      <c r="AH18" s="75">
        <f>IF(AA18&lt;&gt;"",VLOOKUP(AA18,B4:I29,8,FALSE),0)</f>
        <v>0</v>
      </c>
      <c r="AI18" s="75">
        <f>IF(AA18&lt;&gt;"",VLOOKUP(AA18,B4:J29,9,FALSE),0)</f>
        <v>0</v>
      </c>
      <c r="AJ18" s="75">
        <f>AH18-AI18+1000</f>
        <v>1000</v>
      </c>
      <c r="AK18" s="75">
        <f>IF(AA18&lt;&gt;"",VLOOKUP(AA18,B18:F22,5,FALSE),"")</f>
        <v>0</v>
      </c>
      <c r="AL18" s="75">
        <f>IF(AA18&lt;&gt;"",VLOOKUP(AA18,B18:I22,8,FALSE),"")</f>
        <v>0</v>
      </c>
      <c r="AM18" s="75">
        <f>IF(AA18&lt;&gt;"",VLOOKUP(AA18,B18:P22,15,FALSE),"")</f>
        <v>1</v>
      </c>
      <c r="AN18" s="75">
        <f>SUMPRODUCT((DV3:DV42=AA18)*(DY3:DY42=AA19)*EB3:EB42)+SUMPRODUCT((DV3:DV42=AA18)*(DY3:DY42=AA20)*EB3:EB42)+SUMPRODUCT((DV3:DV42=AA18)*(DY3:DY42=AA21)*EB3:EB42)+SUMPRODUCT((DV3:DV42=AA18)*(DY3:DY42=AA22)*EB3:EB42)+SUMPRODUCT((DV3:DV42=AA19)*(DY3:DY42=AA18)*EC3:EC42)+SUMPRODUCT((DV3:DV42=AA20)*(DY3:DY42=AA18)*EC3:EC42)+SUMPRODUCT((DV3:DV42=AA21)*(DY3:DY42=AA18)*EC3:EC42)+SUMPRODUCT((DV3:DV42=AA22)*(DY3:DY42=AA18)*EC3:EC42)</f>
        <v>4</v>
      </c>
      <c r="AO18" s="75">
        <f>SUMPRODUCT((DV3:DV42=AA18)*(DY3:DY42=AA19)*ED3:ED42)+SUMPRODUCT((DV3:DV42=AA18)*(DY3:DY42=AA20)*ED3:ED42)+SUMPRODUCT((DV3:DV42=AA18)*(DY3:DY42=AA21)*ED3:ED42)+SUMPRODUCT((DV3:DV42=AA18)*(DY3:DY42=AA22)*ED3:ED42)+SUMPRODUCT((DV3:DV42=AA19)*(DY3:DY42=AA18)*EE3:EE42)+SUMPRODUCT((DV3:DV42=AA20)*(DY3:DY42=AA18)*EE3:EE42)+SUMPRODUCT((DV3:DV42=AA21)*(DY3:DY42=AA18)*EE3:EE42)+SUMPRODUCT((DV3:DV42=AA22)*(DY3:DY42=AA18)*EE3:EE42)</f>
        <v>0</v>
      </c>
      <c r="AP18" s="75">
        <f>AB18*4+AC18*2+AN18+AO18</f>
        <v>4</v>
      </c>
      <c r="AQ18" s="75">
        <f>IF(AA18&lt;&gt;"",RANK(AP18,AP18:AP22),"")</f>
        <v>1</v>
      </c>
      <c r="AR18" s="75">
        <f>SUMPRODUCT((AP18:AP22=AP18)*(AG18:AG22&gt;AG18))</f>
        <v>0</v>
      </c>
      <c r="AS18" s="75">
        <f>SUMPRODUCT((AP18:AP22=AP18)*(AG18:AG22=AG18)*(AJ18:AJ22&gt;AJ18))</f>
        <v>0</v>
      </c>
      <c r="AT18" s="75">
        <f>SUMPRODUCT((AP18:AP22=AP18)*(AG18:AG22=AG18)*(AJ18:AJ22=AJ18)*(AK18:AK22&gt;AK18))</f>
        <v>0</v>
      </c>
      <c r="AU18" s="75">
        <f>SUMPRODUCT((AP18:AP22=AP18)*(AG18:AG22=AG18)*(AJ18:AJ22=AJ18)*(AK18:AK22=AK18)*(AL18:AL22&gt;AL18))</f>
        <v>0</v>
      </c>
      <c r="AV18" s="75">
        <f>SUMPRODUCT((AP18:AP22=AP18)*(AG18:AG22=AG18)*(AJ18:AJ22=AJ18)*(AK18:AK22=AK18)*(AL18:AL22=AL18)*(AM18:AM22&gt;AM18))</f>
        <v>4</v>
      </c>
      <c r="AW18" s="75">
        <f t="shared" ref="AW18" si="101">IF(AA18&lt;&gt;"",SUM(AQ18:AV18),"")</f>
        <v>5</v>
      </c>
      <c r="AX18" s="75" t="str">
        <f>IF(AA18&lt;&gt;"",INDEX(AA18:AA22,MATCH(1,AW18:AW22,0),0),"")</f>
        <v>Namibia</v>
      </c>
      <c r="DS18" s="75" t="str">
        <f>IF(AX18&lt;&gt;"",AX18,T18)</f>
        <v>Namibia</v>
      </c>
      <c r="DT18" s="75">
        <v>1</v>
      </c>
      <c r="DU18" s="75">
        <v>16</v>
      </c>
      <c r="DV18" s="75" t="str">
        <f>Tournament!H28</f>
        <v>England</v>
      </c>
      <c r="DW18" s="75">
        <f>IF(AND(Tournament!J28&lt;&gt;"",Tournament!L28&lt;&gt;""),Tournament!J28,0)</f>
        <v>0</v>
      </c>
      <c r="DX18" s="75">
        <f>IF(AND(Tournament!L28&lt;&gt;"",Tournament!J28&lt;&gt;""),Tournament!L28,0)</f>
        <v>0</v>
      </c>
      <c r="DY18" s="75" t="str">
        <f>Tournament!N28</f>
        <v>Wales</v>
      </c>
      <c r="DZ18" s="75">
        <f>IF(Tournament!O28&lt;&gt;"",Tournament!O28,0)</f>
        <v>0</v>
      </c>
      <c r="EA18" s="75">
        <f>IF(Tournament!Q28&lt;&gt;"",Tournament!Q28,0)</f>
        <v>0</v>
      </c>
      <c r="EB18" s="75">
        <f>IF(DW18&lt;&gt;"",IF(Tournament!O28&gt;3,1,0),0)</f>
        <v>1</v>
      </c>
      <c r="EC18" s="75">
        <f>IF(DX18&lt;&gt;"",IF(Tournament!Q28&gt;3,1,0),0)</f>
        <v>1</v>
      </c>
      <c r="ED18" s="75">
        <f t="shared" si="1"/>
        <v>0</v>
      </c>
      <c r="EE18" s="75">
        <f t="shared" si="2"/>
        <v>0</v>
      </c>
      <c r="EF18" s="75" t="str">
        <f>IF(AND(Tournament!J28&lt;&gt;"",Tournament!L28&lt;&gt;""),IF(DW18&gt;DX18,"W",IF(DW18=DX18,"D","L")),"")</f>
        <v/>
      </c>
      <c r="EG18" s="75" t="str">
        <f t="shared" si="3"/>
        <v/>
      </c>
      <c r="EH18" s="75">
        <f ca="1">VLOOKUP(EI18,IZ18:JA22,2,FALSE)</f>
        <v>5</v>
      </c>
      <c r="EI18" s="75" t="s">
        <v>44</v>
      </c>
      <c r="EJ18" s="75">
        <f t="shared" ref="EJ18:EJ22" ca="1" si="102">COUNTIFS(JC$3:JC$42,EI18,JM$3:JM$42,"W")+COUNTIFS(JF$3:JF$42,EI18,JN$3:JN$42,"W")</f>
        <v>0</v>
      </c>
      <c r="EK18" s="75">
        <f t="shared" ref="EK18:EK22" ca="1" si="103">COUNTIFS(JC$3:JC$42,EI18,JM$3:JM$42,"D")+COUNTIFS(JF$3:JF$42,EI18,JN$3:JN$42,"D")</f>
        <v>0</v>
      </c>
      <c r="EL18" s="75">
        <f t="shared" ref="EL18:EL22" ca="1" si="104">COUNTIFS(JC$3:JC$42,EI18,JM$3:JM$42,"L")+COUNTIFS(JF$3:JF$42,EI18,JN$3:JN$42,"L")</f>
        <v>0</v>
      </c>
      <c r="EM18" s="75">
        <f t="shared" ref="EM18:EM22" ca="1" si="105">SUMIF(JC$3:JC$60,EI18,JD$3:JD$60)+SUMIF(JF$3:JF$60,EI18,JE$3:JE$60)</f>
        <v>0</v>
      </c>
      <c r="EN18" s="75">
        <f ca="1">SUMIF(JF$3:JF$60,EI18,JD$3:JD$60)+SUMIF(JC$3:JC$60,EI18,JE$3:JE$60)</f>
        <v>0</v>
      </c>
      <c r="EO18" s="75">
        <f t="shared" ref="EO18:EO22" ca="1" si="106">EM18-EN18+1000</f>
        <v>1000</v>
      </c>
      <c r="EP18" s="75">
        <f ca="1">SUMIF(JC:JC,EI18,JG:JG)+SUMIF(JF:JF,EI18,JH:JH)</f>
        <v>0</v>
      </c>
      <c r="EQ18" s="75">
        <f ca="1">SUMIF(JF:JF,EI18,JG:JG)+SUMIF(JC:JC,EI18,JH:JH)</f>
        <v>0</v>
      </c>
      <c r="ER18" s="75">
        <f t="shared" ref="ER18:ER22" ca="1" si="107">EP18-EQ18+1000</f>
        <v>1000</v>
      </c>
      <c r="ES18" s="75">
        <f t="shared" ref="ES18:ES22" ca="1" si="108">EJ18*4+EK18*2</f>
        <v>0</v>
      </c>
      <c r="ET18" s="75">
        <f ca="1">SUMIF(JC:JC,EI18,JI:JI)+SUMIF(JF:JF,EI18,JJ:JJ)</f>
        <v>0</v>
      </c>
      <c r="EU18" s="75">
        <f ca="1">SUMIF(JC:JC,EI18,JK:JK)+SUMIF(JF:JF,EI18,JL:JL)</f>
        <v>0</v>
      </c>
      <c r="EV18" s="75">
        <f t="shared" ref="EV18:EV22" ca="1" si="109">EU18+ET18+ES18</f>
        <v>0</v>
      </c>
      <c r="EW18" s="75">
        <v>1</v>
      </c>
      <c r="EX18" s="75">
        <f ca="1">RANK(EV18,EV$18:EV$22)</f>
        <v>1</v>
      </c>
      <c r="EZ18" s="75">
        <f ca="1">RANK(EV18,EV$18:EV$22)+COUNTIF(EV$18:EV18,EV18)-1</f>
        <v>1</v>
      </c>
      <c r="FA18" s="75" t="str">
        <f ca="1">INDEX(EI$18:EI$22,MATCH(1,EZ$18:EZ$22,0),0)</f>
        <v>New Zealand</v>
      </c>
      <c r="FB18" s="75">
        <f ca="1">INDEX(EX$18:EX$22,MATCH(FA18,EI$18:EI$22,0),0)</f>
        <v>1</v>
      </c>
      <c r="FC18" s="75" t="str">
        <f ca="1">IF(FB19=1,FA18,"")</f>
        <v>New Zealand</v>
      </c>
      <c r="FD18" s="75" t="str">
        <f ca="1">IF(FB20=2,FA19,"")</f>
        <v/>
      </c>
      <c r="FE18" s="75" t="str">
        <f ca="1">IF(FB21=3,FA20,"")</f>
        <v/>
      </c>
      <c r="FF18" s="75" t="str">
        <f ca="1">IF(FB22=4,FA21,"")</f>
        <v/>
      </c>
      <c r="FH18" s="75" t="str">
        <f ca="1">IF(FC18&lt;&gt;"",FC18,"")</f>
        <v>New Zealand</v>
      </c>
      <c r="FI18" s="75">
        <f ca="1">SUMPRODUCT((JC3:JC42=FH18)*(JF3:JF42=FH19)*(JM3:JM42="W"))+SUMPRODUCT((JC3:JC42=FH18)*(JF3:JF42=FH20)*(JM3:JM42="W"))+SUMPRODUCT((JC3:JC42=FH18)*(JF3:JF42=FH21)*(JM3:JM42="W"))+SUMPRODUCT((JC3:JC42=FH18)*(JF3:JF42=FH22)*(JM3:JM42="W"))+SUMPRODUCT((JC3:JC42=FH19)*(JF3:JF42=FH18)*(JN3:JN42="W"))+SUMPRODUCT((JC3:JC42=FH20)*(JF3:JF42=FH18)*(JN3:JN42="W"))+SUMPRODUCT((JC3:JC42=FH21)*(JF3:JF42=FH18)*(JN3:JN42="W"))+SUMPRODUCT((JC3:JC42=FH22)*(JF3:JF42=FH18)*(JN3:JN42="W"))</f>
        <v>0</v>
      </c>
      <c r="FJ18" s="75">
        <f ca="1">SUMPRODUCT((JC3:JC42=FH18)*(JF3:JF42=FH19)*(JM3:JM42="D"))+SUMPRODUCT((JC3:JC42=FH18)*(JF3:JF42=FH20)*(JM3:JM42="D"))+SUMPRODUCT((JC3:JC42=FH18)*(JF3:JF42=FH21)*(JM3:JM42="D"))+SUMPRODUCT((JC3:JC42=FH18)*(JF3:JF42=FH22)*(JM3:JM42="D"))+SUMPRODUCT((JC3:JC42=FH19)*(JF3:JF42=FH18)*(JM3:JM42="D"))+SUMPRODUCT((JC3:JC42=FH20)*(JF3:JF42=FH18)*(JM3:JM42="D"))+SUMPRODUCT((JC3:JC42=FH21)*(JF3:JF42=FH18)*(JM3:JM42="D"))+SUMPRODUCT((JC3:JC42=FH22)*(JF3:JF42=FH18)*(JM3:JM42="D"))</f>
        <v>0</v>
      </c>
      <c r="FK18" s="75">
        <f ca="1">SUMPRODUCT((JC3:JC42=FH18)*(JF3:JF42=FH19)*(JM3:JM42="L"))+SUMPRODUCT((JC3:JC42=FH18)*(JF3:JF42=FH20)*(JM3:JM42="L"))+SUMPRODUCT((JC3:JC42=FH18)*(JF3:JF42=FH21)*(JM3:JM42="L"))+SUMPRODUCT((JC3:JC42=FH18)*(JF3:JF42=FH22)*(JM3:JM42="L"))+SUMPRODUCT((JC3:JC42=FH19)*(JF3:JF42=FH18)*(JN3:JN42="L"))+SUMPRODUCT((JC3:JC42=FH20)*(JF3:JF42=FH18)*(JN3:JN42="L"))+SUMPRODUCT((JC3:JC42=FH21)*(JF3:JF42=FH18)*(JN3:JN42="L"))+SUMPRODUCT((JC3:JC42=FH22)*(JF3:JF42=FH18)*(JN3:JN42="L"))</f>
        <v>0</v>
      </c>
      <c r="FL18" s="75">
        <f ca="1">IF(FH18&lt;&gt;"",VLOOKUP(FH18,EI4:EM29,5,FALSE),0)</f>
        <v>0</v>
      </c>
      <c r="FM18" s="75">
        <f ca="1">IF(FH18&lt;&gt;"",VLOOKUP(FH18,EI4:EN29,6,FALSE),0)</f>
        <v>0</v>
      </c>
      <c r="FN18" s="75">
        <f ca="1">FL18-FM18+1000</f>
        <v>1000</v>
      </c>
      <c r="FO18" s="75">
        <f ca="1">IF(FH18&lt;&gt;"",VLOOKUP(FH18,EI4:EP29,8,FALSE),0)</f>
        <v>0</v>
      </c>
      <c r="FP18" s="75">
        <f ca="1">IF(FH18&lt;&gt;"",VLOOKUP(FH18,EI4:EQ29,9,FALSE),0)</f>
        <v>0</v>
      </c>
      <c r="FQ18" s="75">
        <f ca="1">FO18-FP18+1000</f>
        <v>1000</v>
      </c>
      <c r="FR18" s="75">
        <f ca="1">IF(FH18&lt;&gt;"",VLOOKUP(FH18,EI18:EM22,5,FALSE),"")</f>
        <v>0</v>
      </c>
      <c r="FS18" s="75">
        <f ca="1">IF(FH18&lt;&gt;"",VLOOKUP(FH18,EI18:EP22,8,FALSE),"")</f>
        <v>0</v>
      </c>
      <c r="FT18" s="75">
        <f ca="1">IF(FH18&lt;&gt;"",VLOOKUP(FH18,EI18:EW22,15,FALSE),"")</f>
        <v>1</v>
      </c>
      <c r="FU18" s="75">
        <f ca="1">SUMPRODUCT((JC3:JC42=FH18)*(JF3:JF42=FH19)*JI3:JI42)+SUMPRODUCT((JC3:JC42=FH18)*(JF3:JF42=FH20)*JI3:JI42)+SUMPRODUCT((JC3:JC42=FH18)*(JF3:JF42=FH21)*JI3:JI42)+SUMPRODUCT((JC3:JC42=FH18)*(JF3:JF42=FH22)*JI3:JI42)+SUMPRODUCT((JC3:JC42=FH19)*(JF3:JF42=FH18)*JJ3:JJ42)+SUMPRODUCT((JC3:JC42=FH20)*(JF3:JF42=FH18)*JJ3:JJ42)+SUMPRODUCT((JC3:JC42=FH21)*(JF3:JF42=FH18)*JJ3:JJ42)+SUMPRODUCT((JC3:JC42=FH22)*(JF3:JF42=FH18)*JJ3:JJ42)</f>
        <v>0</v>
      </c>
      <c r="FV18" s="75">
        <f ca="1">SUMPRODUCT((JC3:JC42=FH18)*(JF3:JF42=FH19)*JK3:JK42)+SUMPRODUCT((JC3:JC42=FH18)*(JF3:JF42=FH20)*JK3:JK42)+SUMPRODUCT((JC3:JC42=FH18)*(JF3:JF42=FH21)*JK3:JK42)+SUMPRODUCT((JC3:JC42=FH18)*(JF3:JF42=FH22)*JK3:JK42)+SUMPRODUCT((JC3:JC42=FH19)*(JF3:JF42=FH18)*JL3:JL42)+SUMPRODUCT((JC3:JC42=FH20)*(JF3:JF42=FH18)*JL3:JL42)+SUMPRODUCT((JC3:JC42=FH21)*(JF3:JF42=FH18)*JL3:JL42)+SUMPRODUCT((JC3:JC42=FH22)*(JF3:JF42=FH18)*JL3:JL42)</f>
        <v>0</v>
      </c>
      <c r="FW18" s="75">
        <f ca="1">FI18*4+FJ18*2+FU18+FV18</f>
        <v>0</v>
      </c>
      <c r="FX18" s="75">
        <f ca="1">IF(FH18&lt;&gt;"",RANK(FW18,FW18:FW22),"")</f>
        <v>1</v>
      </c>
      <c r="FY18" s="75">
        <f ca="1">SUMPRODUCT((FW18:FW22=FW18)*(FN18:FN22&gt;FN18))</f>
        <v>0</v>
      </c>
      <c r="FZ18" s="75">
        <f ca="1">SUMPRODUCT((FW18:FW22=FW18)*(FN18:FN22=FN18)*(FQ18:FQ22&gt;FQ18))</f>
        <v>0</v>
      </c>
      <c r="GA18" s="75">
        <f ca="1">SUMPRODUCT((FW18:FW22=FW18)*(FN18:FN22=FN18)*(FQ18:FQ22=FQ18)*(FR18:FR22&gt;FR18))</f>
        <v>0</v>
      </c>
      <c r="GB18" s="75">
        <f ca="1">SUMPRODUCT((FW18:FW22=FW18)*(FN18:FN22=FN18)*(FQ18:FQ22=FQ18)*(FR18:FR22=FR18)*(FS18:FS22&gt;FS18))</f>
        <v>0</v>
      </c>
      <c r="GC18" s="75">
        <f ca="1">SUMPRODUCT((FW18:FW22=FW18)*(FN18:FN22=FN18)*(FQ18:FQ22=FQ18)*(FR18:FR22=FR18)*(FS18:FS22=FS18)*(FT18:FT22&gt;FT18))</f>
        <v>4</v>
      </c>
      <c r="GD18" s="75">
        <f t="shared" ref="GD18" ca="1" si="110">IF(FH18&lt;&gt;"",SUM(FX18:GC18),"")</f>
        <v>5</v>
      </c>
      <c r="GE18" s="75" t="str">
        <f ca="1">IF(FH18&lt;&gt;"",INDEX(FH18:FH22,MATCH(1,GD18:GD22,0),0),"")</f>
        <v>Namibia</v>
      </c>
      <c r="IZ18" s="75" t="str">
        <f ca="1">IF(GE18&lt;&gt;"",GE18,FA18)</f>
        <v>Namibia</v>
      </c>
      <c r="JA18" s="75">
        <v>1</v>
      </c>
      <c r="JB18" s="75">
        <v>16</v>
      </c>
      <c r="JC18" s="75" t="str">
        <f t="shared" si="4"/>
        <v>England</v>
      </c>
      <c r="JD18" s="75" t="str">
        <f ca="1">IF(OFFSET('Prediction Sheet'!$W28,0,JD$1)&lt;&gt;"",OFFSET('Prediction Sheet'!$W28,0,JD$1),"")</f>
        <v/>
      </c>
      <c r="JE18" s="75" t="str">
        <f ca="1">IF(OFFSET('Prediction Sheet'!$Y28,0,JD$1)&lt;&gt;"",OFFSET('Prediction Sheet'!$Y28,0,JD$1),"")</f>
        <v/>
      </c>
      <c r="JF18" s="75" t="str">
        <f t="shared" si="5"/>
        <v>Wales</v>
      </c>
      <c r="JG18" s="75" t="str">
        <f ca="1">IF(OFFSET('Prediction Sheet'!$AA28,0,JF$1)&lt;&gt;"",OFFSET('Prediction Sheet'!$AA28,0,JF$1),"")</f>
        <v/>
      </c>
      <c r="JH18" s="75" t="str">
        <f ca="1">IF(OFFSET('Prediction Sheet'!$AC28,0,JG$1)&lt;&gt;"",OFFSET('Prediction Sheet'!$AC28,0,JG$1),"")</f>
        <v/>
      </c>
      <c r="JI18" s="75">
        <f t="shared" ca="1" si="6"/>
        <v>0</v>
      </c>
      <c r="JJ18" s="75">
        <f t="shared" ca="1" si="7"/>
        <v>0</v>
      </c>
      <c r="JK18" s="75">
        <f t="shared" ca="1" si="8"/>
        <v>0</v>
      </c>
      <c r="JL18" s="75">
        <f t="shared" ca="1" si="9"/>
        <v>0</v>
      </c>
      <c r="JM18" s="75" t="str">
        <f t="shared" ca="1" si="10"/>
        <v/>
      </c>
      <c r="JN18" s="75" t="str">
        <f t="shared" ca="1" si="11"/>
        <v/>
      </c>
    </row>
    <row r="19" spans="1:274" x14ac:dyDescent="0.2">
      <c r="A19" s="75">
        <f>VLOOKUP(B19,DS18:DT22,2,FALSE)</f>
        <v>4</v>
      </c>
      <c r="B19" s="75" t="s">
        <v>3</v>
      </c>
      <c r="C19" s="75">
        <f t="shared" si="94"/>
        <v>0</v>
      </c>
      <c r="D19" s="75">
        <f t="shared" si="95"/>
        <v>0</v>
      </c>
      <c r="E19" s="75">
        <f t="shared" si="96"/>
        <v>0</v>
      </c>
      <c r="F19" s="75">
        <f>SUMIF($DV$3:$DV$60,B19,$DW$3:$DW$60)+SUMIF($DY$3:$DY$60,B19,$DX$3:$DX$60)</f>
        <v>0</v>
      </c>
      <c r="G19" s="75">
        <f>SUMIF($DY$3:$DY$60,B19,$DW$3:$DW$60)+SUMIF($DV$3:$DV$60,B19,$DX$3:$DX$60)</f>
        <v>0</v>
      </c>
      <c r="H19" s="75">
        <f t="shared" si="97"/>
        <v>1000</v>
      </c>
      <c r="I19" s="75">
        <f>SUMIF(Tournament!$H$13:$H$52,B19,Tournament!$O$13:$O$52)+SUMIF(Tournament!$N$13:$N$52,B19,Tournament!$Q$13:$Q$52)</f>
        <v>0</v>
      </c>
      <c r="J19" s="75">
        <f>SUMIF(Tournament!$N$13:$N$52,B19,Tournament!$O$13:$O$52)+SUMIF(Tournament!$H$13:$H$52,B19,Tournament!$Q$13:$Q$52)</f>
        <v>0</v>
      </c>
      <c r="K19" s="75">
        <f t="shared" si="98"/>
        <v>1000</v>
      </c>
      <c r="L19" s="75">
        <f t="shared" si="99"/>
        <v>0</v>
      </c>
      <c r="M19" s="75">
        <f>SUMIF(DV:DV,B19,EB:EB)+SUMIF(DY:DY,B19,EC:EC)</f>
        <v>4</v>
      </c>
      <c r="N19" s="75">
        <f>SUMIF(DV:DV,B19,ED:ED)+SUMIF(DY:DY,B19,EE:EE)</f>
        <v>0</v>
      </c>
      <c r="O19" s="75">
        <f t="shared" si="100"/>
        <v>4</v>
      </c>
      <c r="P19" s="75">
        <v>8</v>
      </c>
      <c r="Q19" s="75">
        <f t="shared" ref="Q19:Q22" si="111">RANK(O19,O$18:O$22)</f>
        <v>1</v>
      </c>
      <c r="S19" s="75">
        <f>RANK(O19,$O$18:$O$22)+COUNTIF($O$18:O19,O19)-1</f>
        <v>2</v>
      </c>
      <c r="T19" s="75" t="str">
        <f>INDEX($B$18:$B$22,MATCH(2,$S$18:$S$22,0),0)</f>
        <v>Argentina</v>
      </c>
      <c r="U19" s="75">
        <f t="shared" ref="U19:U22" si="112">INDEX($Q$18:$Q$22,MATCH(T19,$B$18:$B$22,0),0)</f>
        <v>1</v>
      </c>
      <c r="V19" s="75" t="str">
        <f>IF(V18&lt;&gt;"",T19,"")</f>
        <v>Argentina</v>
      </c>
      <c r="W19" s="75" t="str">
        <f>IF(W18&lt;&gt;"",T20,"")</f>
        <v/>
      </c>
      <c r="X19" s="75" t="str">
        <f>IF(X18&lt;&gt;"",T21,"")</f>
        <v/>
      </c>
      <c r="Y19" s="75" t="str">
        <f>IF(Y18&lt;&gt;"",T22,"")</f>
        <v/>
      </c>
      <c r="AA19" s="75" t="str">
        <f t="shared" ref="AA19:AA22" si="113">IF(V19&lt;&gt;"",V19,"")</f>
        <v>Argentina</v>
      </c>
      <c r="AB19" s="75">
        <f>SUMPRODUCT((DV3:DV42=AA19)*(DY3:DY42=AA20)*(EF3:EF42="W"))+SUMPRODUCT((DV3:DV42=AA19)*(DY3:DY42=AA21)*(EF3:EF42="W"))+SUMPRODUCT((DV3:DV42=AA19)*(DY3:DY42=AA22)*(EF3:EF42="W"))+SUMPRODUCT((DV3:DV42=AA19)*(DY3:DY42=AA18)*(EF3:EF42="W"))+SUMPRODUCT((DV3:DV42=AA20)*(DY3:DY42=AA19)*(EG3:EG42="W"))+SUMPRODUCT((DV3:DV42=AA21)*(DY3:DY42=AA19)*(EG3:EG42="W"))+SUMPRODUCT((DV3:DV42=AA22)*(DY3:DY42=AA19)*(EG3:EG42="W"))+SUMPRODUCT((DV3:DV42=AA18)*(DY3:DY42=AA19)*(EG3:EG42="W"))</f>
        <v>0</v>
      </c>
      <c r="AC19" s="75">
        <f>SUMPRODUCT((DV3:DV42=AA19)*(DY3:DY42=AA20)*(EF3:EF42="D"))+SUMPRODUCT((DV3:DV42=AA19)*(DY3:DY42=AA21)*(EF3:EF42="D"))+SUMPRODUCT((DV3:DV42=AA19)*(DY3:DY42=AA22)*(EF3:EF42="D"))+SUMPRODUCT((DV3:DV42=AA19)*(DY3:DY42=AA18)*(EF3:EF42="D"))+SUMPRODUCT((DV3:DV42=AA20)*(DY3:DY42=AA19)*(EF3:EF42="D"))+SUMPRODUCT((DV3:DV42=AA21)*(DY3:DY42=AA19)*(EF3:EF42="D"))+SUMPRODUCT((DV3:DV42=AA22)*(DY3:DY42=AA19)*(EF3:EF42="D"))+SUMPRODUCT((DV3:DV42=AA18)*(DY3:DY42=AA19)*(EF3:EF42="D"))</f>
        <v>0</v>
      </c>
      <c r="AD19" s="75">
        <f>SUMPRODUCT((DV3:DV42=AA19)*(DY3:DY42=AA20)*(EF3:EF42="L"))+SUMPRODUCT((DV3:DV42=AA19)*(DY3:DY42=AA21)*(EF3:EF42="L"))+SUMPRODUCT((DV3:DV42=AA19)*(DY3:DY42=AA22)*(EF3:EF42="L"))+SUMPRODUCT((DV3:DV42=AA19)*(DY3:DY42=AA18)*(EF3:EF42="L"))+SUMPRODUCT((DV3:DV42=AA20)*(DY3:DY42=AA19)*(EG3:EG42="L"))+SUMPRODUCT((DV3:DV42=AA21)*(DY3:DY42=AA19)*(EG3:EG42="L"))+SUMPRODUCT((DV3:DV42=AA22)*(DY3:DY42=AA19)*(EG3:EG42="L"))+SUMPRODUCT((DV3:DV42=AA18)*(DY3:DY42=AA19)*(EG3:EG42="L"))</f>
        <v>0</v>
      </c>
      <c r="AE19" s="75">
        <f>IF(AA19&lt;&gt;"",VLOOKUP(AA19,B4:F29,5,FALSE),0)</f>
        <v>0</v>
      </c>
      <c r="AF19" s="75">
        <f>IF(AA19&lt;&gt;"",VLOOKUP(AA19,B4:G29,6,FALSE),0)</f>
        <v>0</v>
      </c>
      <c r="AG19" s="75">
        <f>AE19-AF19+1000</f>
        <v>1000</v>
      </c>
      <c r="AH19" s="75">
        <f>IF(AA19&lt;&gt;"",VLOOKUP(AA19,B4:I29,8,FALSE),0)</f>
        <v>0</v>
      </c>
      <c r="AI19" s="75">
        <f>IF(AA19&lt;&gt;"",VLOOKUP(AA19,B4:J29,9,FALSE),0)</f>
        <v>0</v>
      </c>
      <c r="AJ19" s="75">
        <f t="shared" ref="AJ19" si="114">AH19-AI19+1000</f>
        <v>1000</v>
      </c>
      <c r="AK19" s="75">
        <f>IF(AA19&lt;&gt;"",VLOOKUP(AA19,B18:F22,5,FALSE),"")</f>
        <v>0</v>
      </c>
      <c r="AL19" s="75">
        <f>IF(AA19&lt;&gt;"",VLOOKUP(AA19,B18:I22,8,FALSE),"")</f>
        <v>0</v>
      </c>
      <c r="AM19" s="75">
        <f>IF(AA19&lt;&gt;"",VLOOKUP(AA19,B18:P22,15,FALSE),"")</f>
        <v>8</v>
      </c>
      <c r="AN19" s="75">
        <f>SUMPRODUCT((DV3:DV42=AA19)*(DY3:DY42=AA20)*EB3:EB42)+SUMPRODUCT((DV3:DV42=AA19)*(DY3:DY42=AA21)*EB3:EB42)+SUMPRODUCT((DV3:DV42=AA19)*(DY3:DY42=AA22)*EB3:EB42)+SUMPRODUCT((DV3:DV42=AA19)*(DY3:DY42=AA18)*EB3:EB42)+SUMPRODUCT((DV3:DV42=AA20)*(DY3:DY42=AA19)*EC3:EC42)+SUMPRODUCT((DV3:DV42=AA21)*(DY3:DY42=AA19)*EC3:EC42)+SUMPRODUCT((DV3:DV42=AA22)*(DY3:DY42=AA19)*EC3:EC42)+SUMPRODUCT((DV3:DV42=AA18)*(DY3:DY42=AA19)*EC3:EC42)</f>
        <v>4</v>
      </c>
      <c r="AO19" s="75">
        <f>SUMPRODUCT((DV3:DV42=AA19)*(DY3:DY42=AA20)*ED3:ED42)+SUMPRODUCT((DV3:DV42=AA19)*(DY3:DY42=AA21)*ED3:ED42)+SUMPRODUCT((DV3:DV42=AA19)*(DY3:DY42=AA22)*ED3:ED42)+SUMPRODUCT((DV3:DV42=AA19)*(DY3:DY42=AA18)*ED3:ED42)+SUMPRODUCT((DV3:DV42=AA20)*(DY3:DY42=AA19)*EE3:EE42)+SUMPRODUCT((DV3:DV42=AA21)*(DY3:DY42=AA19)*EE3:EE42)+SUMPRODUCT((DV3:DV42=AA22)*(DY3:DY42=AA19)*EE3:EE42)+SUMPRODUCT((DV3:DV42=AA18)*(DY3:DY42=AA19)*EE3:EE42)</f>
        <v>0</v>
      </c>
      <c r="AP19" s="75">
        <f t="shared" ref="AP19" si="115">AB19*4+AC19*2+AN19+AO19</f>
        <v>4</v>
      </c>
      <c r="AQ19" s="75">
        <f>IF(AA19&lt;&gt;"",RANK(AP19,AP18:AP22),"")</f>
        <v>1</v>
      </c>
      <c r="AR19" s="75">
        <f>SUMPRODUCT((AP18:AP22=AP19)*(AG18:AG22&gt;AG19))</f>
        <v>0</v>
      </c>
      <c r="AS19" s="75">
        <f>SUMPRODUCT((AP18:AP22=AP19)*(AG18:AG22=AG19)*(AJ18:AJ22&gt;AJ19))</f>
        <v>0</v>
      </c>
      <c r="AT19" s="75">
        <f>SUMPRODUCT((AP18:AP22=AP19)*(AG18:AG22=AG19)*(AJ18:AJ22=AJ19)*(AK18:AK22&gt;AK19))</f>
        <v>0</v>
      </c>
      <c r="AU19" s="75">
        <f>SUMPRODUCT((AP18:AP22=AP19)*(AG18:AG22=AG19)*(AJ18:AJ22=AJ19)*(AK18:AK22=AK19)*(AL18:AL22&gt;AL19))</f>
        <v>0</v>
      </c>
      <c r="AV19" s="75">
        <f>SUMPRODUCT((AP18:AP22=AP19)*(AG18:AG22=AG19)*(AJ18:AJ22=AJ19)*(AK18:AK22=AK19)*(AL18:AL22=AL19)*(AM18:AM22&gt;AM19))</f>
        <v>3</v>
      </c>
      <c r="AW19" s="75">
        <f t="shared" ref="AW19:AW22" si="116">IF(AA19&lt;&gt;"",SUM(AQ19:AV19),"")</f>
        <v>4</v>
      </c>
      <c r="AX19" s="75" t="str">
        <f>IF(AA19&lt;&gt;"",INDEX(AA18:AA22,MATCH(2,AW18:AW22,0),0),"")</f>
        <v>Georgia</v>
      </c>
      <c r="AY19" s="75" t="str">
        <f>IF(W18&lt;&gt;"",W18,"")</f>
        <v/>
      </c>
      <c r="AZ19" s="75">
        <f>SUMPRODUCT((DV3:DV42=AY19)*(DY3:DY42=AY20)*(EF3:EF42="W"))+SUMPRODUCT((DV3:DV42=AY19)*(DY3:DY42=AY21)*(EF3:EF42="W"))+SUMPRODUCT((DV3:DV42=AY19)*(DY3:DY42=AY22)*(EF3:EF42="W"))+SUMPRODUCT((DV3:DV42=AY20)*(DY3:DY42=AY19)*(EG3:EG42="W"))+SUMPRODUCT((DV3:DV42=AY21)*(DY3:DY42=AY19)*(EG3:EG42="W"))+SUMPRODUCT((DV3:DV42=AY22)*(DY3:DY42=AY19)*(EG3:EG42="W"))</f>
        <v>0</v>
      </c>
      <c r="BA19" s="75">
        <f>SUMPRODUCT((DV3:DV42=AY19)*(DY3:DY42=AY20)*(EF3:EF42="D"))+SUMPRODUCT((DV3:DV42=AY19)*(DY3:DY42=AY21)*(EF3:EF42="D"))+SUMPRODUCT((DV3:DV42=AY19)*(DY3:DY42=AY22)*(EF3:EF42="D"))+SUMPRODUCT((DV3:DV42=AY20)*(DY3:DY42=AY19)*(EF3:EF42="D"))+SUMPRODUCT((DV3:DV42=AY21)*(DY3:DY42=AY19)*(EF3:EF42="D"))+SUMPRODUCT((DV3:DV42=AY22)*(DY3:DY42=AY19)*(EF3:EF42="D"))</f>
        <v>0</v>
      </c>
      <c r="BB19" s="75">
        <f>SUMPRODUCT((DV3:DV42=AY19)*(DY3:DY42=AY20)*(EF3:EF42="L"))+SUMPRODUCT((DV3:DV42=AY19)*(DY3:DY42=AY21)*(EF3:EF42="L"))+SUMPRODUCT((DV3:DV42=AY19)*(DY3:DY42=AY22)*(EF3:EF42="L"))+SUMPRODUCT((DV3:DV42=AY20)*(DY3:DY42=AY19)*(EG3:EG42="L"))+SUMPRODUCT((DV3:DV42=AY21)*(DY3:DY42=AY19)*(EG3:EG42="L"))+SUMPRODUCT((DV3:DV42=AY22)*(DY3:DY42=AY19)*(EG3:EG42="L"))</f>
        <v>0</v>
      </c>
      <c r="BC19" s="75">
        <f>IF(AY19&lt;&gt;"",VLOOKUP(AY19,B4:F29,5,FALSE),0)</f>
        <v>0</v>
      </c>
      <c r="BD19" s="75">
        <f>IF(AY19&lt;&gt;"",VLOOKUP(AY19,B4:G29,6,FALSE),0)</f>
        <v>0</v>
      </c>
      <c r="BE19" s="75">
        <f>BC19-BD19+1000</f>
        <v>1000</v>
      </c>
      <c r="BF19" s="75">
        <f>IF(AY19&lt;&gt;"",VLOOKUP(AY19,B4:I29,8,FALSE),0)</f>
        <v>0</v>
      </c>
      <c r="BG19" s="75">
        <f>IF(AY19&lt;&gt;"",VLOOKUP(AY19,B4:J29,9,FALSE),0)</f>
        <v>0</v>
      </c>
      <c r="BH19" s="75">
        <f>BF19-BG19+1000</f>
        <v>1000</v>
      </c>
      <c r="BI19" s="75" t="str">
        <f>IF(AY19&lt;&gt;"",VLOOKUP(AY19,B18:F22,5,FALSE),"")</f>
        <v/>
      </c>
      <c r="BJ19" s="75" t="str">
        <f>IF(AY19&lt;&gt;"",VLOOKUP(AY19,B18:I22,8,FALSE),"")</f>
        <v/>
      </c>
      <c r="BK19" s="75" t="str">
        <f>IF(AY19&lt;&gt;"",VLOOKUP(AY19,B18:P22,15,FALSE),"")</f>
        <v/>
      </c>
      <c r="BL19" s="75">
        <f>SUMPRODUCT((DV3:DV42=AY19)*(DY3:DY42=AY20)*EB3:EB42)+SUMPRODUCT((DV3:DV42=AY19)*(DY3:DY42=AY21)*EB3:EB42)+SUMPRODUCT((DV3:DV42=AY19)*(DY3:DY42=AY22)*EB3:EB42)+SUMPRODUCT((DV3:DV42=AY20)*(DY3:DY42=AY19)*EC3:EC42)+SUMPRODUCT((DV3:DV42=AY21)*(DY3:DY42=AY19)*EC3:EC42)+SUMPRODUCT((DV3:DV42=AY22)*(DY3:DY42=AY19)*EC3:EC42)</f>
        <v>0</v>
      </c>
      <c r="BM19" s="75">
        <f>SUMPRODUCT((DV3:DV42=AY19)*(DY3:DY42=AY20)*ED3:ED42)+SUMPRODUCT((DV3:DV42=AY19)*(DY3:DY42=AY21)*ED3:ED42)+SUMPRODUCT((DV3:DV42=AY19)*(DY3:DY42=AY22)*ED3:ED42)+SUMPRODUCT((DV3:DV42=AY20)*(DY3:DY42=AY19)*EE3:EE42)+SUMPRODUCT((DV3:DV42=AY21)*(DY3:DY42=AY19)*EE3:EE42)+SUMPRODUCT((DV3:DV42=AY22)*(DY3:DY42=AY19)*EE3:EE42)</f>
        <v>0</v>
      </c>
      <c r="BN19" s="75">
        <f>AZ19*4+BA19*2+BL19+BM19</f>
        <v>0</v>
      </c>
      <c r="BO19" s="75" t="str">
        <f>IF(AY19&lt;&gt;"",RANK(BN19,BN19:BN22),"")</f>
        <v/>
      </c>
      <c r="BP19" s="75">
        <f>SUMPRODUCT((BN19:BN22=BN19)*(BE19:BE22&gt;BE19))</f>
        <v>0</v>
      </c>
      <c r="BQ19" s="75">
        <f>SUMPRODUCT((BN19:BN22=BN19)*(BE19:BE22=BE19)*(BH19:BH22&gt;BH19))</f>
        <v>0</v>
      </c>
      <c r="BR19" s="75">
        <f>SUMPRODUCT((BN18:BN22=BN19)*(BE18:BE22=BE19)*(BH18:BH22=BH19)*(BI18:BI22&gt;BI19))</f>
        <v>0</v>
      </c>
      <c r="BS19" s="75">
        <f>SUMPRODUCT((BN18:BN22=BN19)*(BE18:BE22=BE19)*(BH18:BH22=BH19)*(BI18:BI22=BI19)*(BJ18:BJ22&gt;BJ19))</f>
        <v>0</v>
      </c>
      <c r="BT19" s="75">
        <f>SUMPRODUCT((BN18:BN22=BN19)*(BE18:BE22=BE19)*(BH18:BH22=BH19)*(BI18:BI22=BI19)*(BJ18:BJ22=BJ19)*(BK18:BK22&gt;BK19))</f>
        <v>0</v>
      </c>
      <c r="BU19" s="75" t="str">
        <f t="shared" ref="BU19:BU22" si="117">IF(AY19&lt;&gt;"",SUM(BO19:BT19)+1,"")</f>
        <v/>
      </c>
      <c r="BV19" s="75" t="str">
        <f>IF(AY19&lt;&gt;"",INDEX(AY19:AY22,MATCH(2,BU19:BU22,0),0),"")</f>
        <v/>
      </c>
      <c r="DS19" s="75" t="str">
        <f>IF(BV19&lt;&gt;"",BV19,IF(AX19&lt;&gt;"",AX19,T19))</f>
        <v>Georgia</v>
      </c>
      <c r="DT19" s="75">
        <v>2</v>
      </c>
      <c r="DU19" s="75">
        <v>17</v>
      </c>
      <c r="DV19" s="75" t="str">
        <f>Tournament!H29</f>
        <v>Australia</v>
      </c>
      <c r="DW19" s="75">
        <f>IF(AND(Tournament!J29&lt;&gt;"",Tournament!L29&lt;&gt;""),Tournament!J29,0)</f>
        <v>0</v>
      </c>
      <c r="DX19" s="75">
        <f>IF(AND(Tournament!L29&lt;&gt;"",Tournament!J29&lt;&gt;""),Tournament!L29,0)</f>
        <v>0</v>
      </c>
      <c r="DY19" s="75" t="str">
        <f>Tournament!N29</f>
        <v>Uruguay</v>
      </c>
      <c r="DZ19" s="75">
        <f>IF(Tournament!O29&lt;&gt;"",Tournament!O29,0)</f>
        <v>0</v>
      </c>
      <c r="EA19" s="75">
        <f>IF(Tournament!Q29&lt;&gt;"",Tournament!Q29,0)</f>
        <v>0</v>
      </c>
      <c r="EB19" s="75">
        <f>IF(DW19&lt;&gt;"",IF(Tournament!O29&gt;3,1,0),0)</f>
        <v>1</v>
      </c>
      <c r="EC19" s="75">
        <f>IF(DX19&lt;&gt;"",IF(Tournament!Q29&gt;3,1,0),0)</f>
        <v>1</v>
      </c>
      <c r="ED19" s="75">
        <f t="shared" si="1"/>
        <v>0</v>
      </c>
      <c r="EE19" s="75">
        <f t="shared" si="2"/>
        <v>0</v>
      </c>
      <c r="EF19" s="75" t="str">
        <f>IF(AND(Tournament!J29&lt;&gt;"",Tournament!L29&lt;&gt;""),IF(DW19&gt;DX19,"W",IF(DW19=DX19,"D","L")),"")</f>
        <v/>
      </c>
      <c r="EG19" s="75" t="str">
        <f t="shared" si="3"/>
        <v/>
      </c>
      <c r="EH19" s="75">
        <f ca="1">VLOOKUP(EI19,IZ18:JA22,2,FALSE)</f>
        <v>4</v>
      </c>
      <c r="EI19" s="75" t="s">
        <v>3</v>
      </c>
      <c r="EJ19" s="75">
        <f t="shared" ca="1" si="102"/>
        <v>0</v>
      </c>
      <c r="EK19" s="75">
        <f t="shared" ca="1" si="103"/>
        <v>0</v>
      </c>
      <c r="EL19" s="75">
        <f t="shared" ca="1" si="104"/>
        <v>0</v>
      </c>
      <c r="EM19" s="75">
        <f t="shared" ca="1" si="105"/>
        <v>0</v>
      </c>
      <c r="EN19" s="75">
        <f t="shared" ref="EN19:EN22" ca="1" si="118">SUMIF(JF$3:JF$60,EI19,JD$3:JD$60)+SUMIF(JC$3:JC$60,EI19,JE$3:JE$60)</f>
        <v>0</v>
      </c>
      <c r="EO19" s="75">
        <f t="shared" ca="1" si="106"/>
        <v>1000</v>
      </c>
      <c r="EP19" s="75">
        <f t="shared" ref="EP19:EP22" ca="1" si="119">SUMIF(JC:JC,EI19,JG:JG)+SUMIF(JF:JF,EI19,JH:JH)</f>
        <v>0</v>
      </c>
      <c r="EQ19" s="75">
        <f t="shared" ref="EQ19:EQ22" ca="1" si="120">SUMIF(JF:JF,EI19,JG:JG)+SUMIF(JC:JC,EI19,JH:JH)</f>
        <v>0</v>
      </c>
      <c r="ER19" s="75">
        <f t="shared" ca="1" si="107"/>
        <v>1000</v>
      </c>
      <c r="ES19" s="75">
        <f t="shared" ca="1" si="108"/>
        <v>0</v>
      </c>
      <c r="ET19" s="75">
        <f ca="1">SUMIF(JC:JC,EI19,JI:JI)+SUMIF(JF:JF,EI19,JJ:JJ)</f>
        <v>0</v>
      </c>
      <c r="EU19" s="75">
        <f ca="1">SUMIF(JC:JC,EI19,JK:JK)+SUMIF(JF:JF,EI19,JL:JL)</f>
        <v>0</v>
      </c>
      <c r="EV19" s="75">
        <f t="shared" ca="1" si="109"/>
        <v>0</v>
      </c>
      <c r="EW19" s="75">
        <v>8</v>
      </c>
      <c r="EX19" s="75">
        <f t="shared" ref="EX19:EX22" ca="1" si="121">RANK(EV19,EV$18:EV$22)</f>
        <v>1</v>
      </c>
      <c r="EZ19" s="75">
        <f ca="1">RANK(EV19,EV$18:EV$22)+COUNTIF(EV$18:EV19,EV19)-1</f>
        <v>2</v>
      </c>
      <c r="FA19" s="75" t="str">
        <f ca="1">INDEX(EI$18:EI$22,MATCH(2,EZ$18:EZ$22,0),0)</f>
        <v>Argentina</v>
      </c>
      <c r="FB19" s="75">
        <f t="shared" ref="FB19:FB22" ca="1" si="122">INDEX(EX$18:EX$22,MATCH(FA19,EI$18:EI$22,0),0)</f>
        <v>1</v>
      </c>
      <c r="FC19" s="75" t="str">
        <f ca="1">IF(FC18&lt;&gt;"",FA19,"")</f>
        <v>Argentina</v>
      </c>
      <c r="FD19" s="75" t="str">
        <f ca="1">IF(FD18&lt;&gt;"",FA20,"")</f>
        <v/>
      </c>
      <c r="FE19" s="75" t="str">
        <f ca="1">IF(FE18&lt;&gt;"",FA21,"")</f>
        <v/>
      </c>
      <c r="FF19" s="75" t="str">
        <f ca="1">IF(FF18&lt;&gt;"",FA22,"")</f>
        <v/>
      </c>
      <c r="FH19" s="75" t="str">
        <f t="shared" ref="FH19:FH22" ca="1" si="123">IF(FC19&lt;&gt;"",FC19,"")</f>
        <v>Argentina</v>
      </c>
      <c r="FI19" s="75">
        <f ca="1">SUMPRODUCT((JC3:JC42=FH19)*(JF3:JF42=FH20)*(JM3:JM42="W"))+SUMPRODUCT((JC3:JC42=FH19)*(JF3:JF42=FH21)*(JM3:JM42="W"))+SUMPRODUCT((JC3:JC42=FH19)*(JF3:JF42=FH22)*(JM3:JM42="W"))+SUMPRODUCT((JC3:JC42=FH19)*(JF3:JF42=FH18)*(JM3:JM42="W"))+SUMPRODUCT((JC3:JC42=FH20)*(JF3:JF42=FH19)*(JN3:JN42="W"))+SUMPRODUCT((JC3:JC42=FH21)*(JF3:JF42=FH19)*(JN3:JN42="W"))+SUMPRODUCT((JC3:JC42=FH22)*(JF3:JF42=FH19)*(JN3:JN42="W"))+SUMPRODUCT((JC3:JC42=FH18)*(JF3:JF42=FH19)*(JN3:JN42="W"))</f>
        <v>0</v>
      </c>
      <c r="FJ19" s="75">
        <f ca="1">SUMPRODUCT((JC3:JC42=FH19)*(JF3:JF42=FH20)*(JM3:JM42="D"))+SUMPRODUCT((JC3:JC42=FH19)*(JF3:JF42=FH21)*(JM3:JM42="D"))+SUMPRODUCT((JC3:JC42=FH19)*(JF3:JF42=FH22)*(JM3:JM42="D"))+SUMPRODUCT((JC3:JC42=FH19)*(JF3:JF42=FH18)*(JM3:JM42="D"))+SUMPRODUCT((JC3:JC42=FH20)*(JF3:JF42=FH19)*(JM3:JM42="D"))+SUMPRODUCT((JC3:JC42=FH21)*(JF3:JF42=FH19)*(JM3:JM42="D"))+SUMPRODUCT((JC3:JC42=FH22)*(JF3:JF42=FH19)*(JM3:JM42="D"))+SUMPRODUCT((JC3:JC42=FH18)*(JF3:JF42=FH19)*(JM3:JM42="D"))</f>
        <v>0</v>
      </c>
      <c r="FK19" s="75">
        <f ca="1">SUMPRODUCT((JC3:JC42=FH19)*(JF3:JF42=FH20)*(JM3:JM42="L"))+SUMPRODUCT((JC3:JC42=FH19)*(JF3:JF42=FH21)*(JM3:JM42="L"))+SUMPRODUCT((JC3:JC42=FH19)*(JF3:JF42=FH22)*(JM3:JM42="L"))+SUMPRODUCT((JC3:JC42=FH19)*(JF3:JF42=FH18)*(JM3:JM42="L"))+SUMPRODUCT((JC3:JC42=FH20)*(JF3:JF42=FH19)*(JN3:JN42="L"))+SUMPRODUCT((JC3:JC42=FH21)*(JF3:JF42=FH19)*(JN3:JN42="L"))+SUMPRODUCT((JC3:JC42=FH22)*(JF3:JF42=FH19)*(JN3:JN42="L"))+SUMPRODUCT((JC3:JC42=FH18)*(JF3:JF42=FH19)*(JN3:JN42="L"))</f>
        <v>0</v>
      </c>
      <c r="FL19" s="75">
        <f ca="1">IF(FH19&lt;&gt;"",VLOOKUP(FH19,EI4:EM29,5,FALSE),0)</f>
        <v>0</v>
      </c>
      <c r="FM19" s="75">
        <f ca="1">IF(FH19&lt;&gt;"",VLOOKUP(FH19,EI4:EN29,6,FALSE),0)</f>
        <v>0</v>
      </c>
      <c r="FN19" s="75">
        <f ca="1">FL19-FM19+1000</f>
        <v>1000</v>
      </c>
      <c r="FO19" s="75">
        <f ca="1">IF(FH19&lt;&gt;"",VLOOKUP(FH19,EI4:EP29,8,FALSE),0)</f>
        <v>0</v>
      </c>
      <c r="FP19" s="75">
        <f ca="1">IF(FH19&lt;&gt;"",VLOOKUP(FH19,EI4:EQ29,9,FALSE),0)</f>
        <v>0</v>
      </c>
      <c r="FQ19" s="75">
        <f t="shared" ref="FQ19" ca="1" si="124">FO19-FP19+1000</f>
        <v>1000</v>
      </c>
      <c r="FR19" s="75">
        <f ca="1">IF(FH19&lt;&gt;"",VLOOKUP(FH19,EI18:EM22,5,FALSE),"")</f>
        <v>0</v>
      </c>
      <c r="FS19" s="75">
        <f ca="1">IF(FH19&lt;&gt;"",VLOOKUP(FH19,EI18:EP22,8,FALSE),"")</f>
        <v>0</v>
      </c>
      <c r="FT19" s="75">
        <f ca="1">IF(FH19&lt;&gt;"",VLOOKUP(FH19,EI18:EW22,15,FALSE),"")</f>
        <v>8</v>
      </c>
      <c r="FU19" s="75">
        <f ca="1">SUMPRODUCT((JC3:JC42=FH19)*(JF3:JF42=FH20)*JI3:JI42)+SUMPRODUCT((JC3:JC42=FH19)*(JF3:JF42=FH21)*JI3:JI42)+SUMPRODUCT((JC3:JC42=FH19)*(JF3:JF42=FH22)*JI3:JI42)+SUMPRODUCT((JC3:JC42=FH19)*(JF3:JF42=FH18)*JI3:JI42)+SUMPRODUCT((JC3:JC42=FH20)*(JF3:JF42=FH19)*JJ3:JJ42)+SUMPRODUCT((JC3:JC42=FH21)*(JF3:JF42=FH19)*JJ3:JJ42)+SUMPRODUCT((JC3:JC42=FH22)*(JF3:JF42=FH19)*JJ3:JJ42)+SUMPRODUCT((JC3:JC42=FH18)*(JF3:JF42=FH19)*JJ3:JJ42)</f>
        <v>0</v>
      </c>
      <c r="FV19" s="75">
        <f ca="1">SUMPRODUCT((JC3:JC42=FH19)*(JF3:JF42=FH20)*JK3:JK42)+SUMPRODUCT((JC3:JC42=FH19)*(JF3:JF42=FH21)*JK3:JK42)+SUMPRODUCT((JC3:JC42=FH19)*(JF3:JF42=FH22)*JK3:JK42)+SUMPRODUCT((JC3:JC42=FH19)*(JF3:JF42=FH18)*JK3:JK42)+SUMPRODUCT((JC3:JC42=FH20)*(JF3:JF42=FH19)*JL3:JL42)+SUMPRODUCT((JC3:JC42=FH21)*(JF3:JF42=FH19)*JL3:JL42)+SUMPRODUCT((JC3:JC42=FH22)*(JF3:JF42=FH19)*JL3:JL42)+SUMPRODUCT((JC3:JC42=FH18)*(JF3:JF42=FH19)*JL3:JL42)</f>
        <v>0</v>
      </c>
      <c r="FW19" s="75">
        <f t="shared" ref="FW19" ca="1" si="125">FI19*4+FJ19*2+FU19+FV19</f>
        <v>0</v>
      </c>
      <c r="FX19" s="75">
        <f ca="1">IF(FH19&lt;&gt;"",RANK(FW19,FW18:FW22),"")</f>
        <v>1</v>
      </c>
      <c r="FY19" s="75">
        <f ca="1">SUMPRODUCT((FW18:FW22=FW19)*(FN18:FN22&gt;FN19))</f>
        <v>0</v>
      </c>
      <c r="FZ19" s="75">
        <f ca="1">SUMPRODUCT((FW18:FW22=FW19)*(FN18:FN22=FN19)*(FQ18:FQ22&gt;FQ19))</f>
        <v>0</v>
      </c>
      <c r="GA19" s="75">
        <f ca="1">SUMPRODUCT((FW18:FW22=FW19)*(FN18:FN22=FN19)*(FQ18:FQ22=FQ19)*(FR18:FR22&gt;FR19))</f>
        <v>0</v>
      </c>
      <c r="GB19" s="75">
        <f ca="1">SUMPRODUCT((FW18:FW22=FW19)*(FN18:FN22=FN19)*(FQ18:FQ22=FQ19)*(FR18:FR22=FR19)*(FS18:FS22&gt;FS19))</f>
        <v>0</v>
      </c>
      <c r="GC19" s="75">
        <f ca="1">SUMPRODUCT((FW18:FW22=FW19)*(FN18:FN22=FN19)*(FQ18:FQ22=FQ19)*(FR18:FR22=FR19)*(FS18:FS22=FS19)*(FT18:FT22&gt;FT19))</f>
        <v>3</v>
      </c>
      <c r="GD19" s="75">
        <f t="shared" ref="GD19:GD22" ca="1" si="126">IF(FH19&lt;&gt;"",SUM(FX19:GC19),"")</f>
        <v>4</v>
      </c>
      <c r="GE19" s="75" t="str">
        <f ca="1">IF(FH19&lt;&gt;"",INDEX(FH18:FH22,MATCH(2,GD18:GD22,0),0),"")</f>
        <v>Georgia</v>
      </c>
      <c r="GF19" s="75" t="str">
        <f ca="1">IF(FD18&lt;&gt;"",FD18,"")</f>
        <v/>
      </c>
      <c r="GG19" s="75">
        <f ca="1">SUMPRODUCT((JC3:JC42=GF19)*(JF3:JF42=GF20)*(JM3:JM42="W"))+SUMPRODUCT((JC3:JC42=GF19)*(JF3:JF42=GF21)*(JM3:JM42="W"))+SUMPRODUCT((JC3:JC42=GF19)*(JF3:JF42=GF22)*(JM3:JM42="W"))+SUMPRODUCT((JC3:JC42=GF20)*(JF3:JF42=GF19)*(JN3:JN42="W"))+SUMPRODUCT((JC3:JC42=GF21)*(JF3:JF42=GF19)*(JN3:JN42="W"))+SUMPRODUCT((JC3:JC42=GF22)*(JF3:JF42=GF19)*(JN3:JN42="W"))</f>
        <v>0</v>
      </c>
      <c r="GH19" s="75">
        <f ca="1">SUMPRODUCT((JC3:JC42=GF19)*(JF3:JF42=GF20)*(JM3:JM42="D"))+SUMPRODUCT((JC3:JC42=GF19)*(JF3:JF42=GF21)*(JM3:JM42="D"))+SUMPRODUCT((JC3:JC42=GF19)*(JF3:JF42=GF22)*(JM3:JM42="D"))+SUMPRODUCT((JC3:JC42=GF20)*(JF3:JF42=GF19)*(JM3:JM42="D"))+SUMPRODUCT((JC3:JC42=GF21)*(JF3:JF42=GF19)*(JM3:JM42="D"))+SUMPRODUCT((JC3:JC42=GF22)*(JF3:JF42=GF19)*(JM3:JM42="D"))</f>
        <v>0</v>
      </c>
      <c r="GI19" s="75">
        <f ca="1">SUMPRODUCT((JC3:JC42=GF19)*(JF3:JF42=GF20)*(JM3:JM42="L"))+SUMPRODUCT((JC3:JC42=GF19)*(JF3:JF42=GF21)*(JM3:JM42="L"))+SUMPRODUCT((JC3:JC42=GF19)*(JF3:JF42=GF22)*(JM3:JM42="L"))+SUMPRODUCT((JC3:JC42=GF20)*(JF3:JF42=GF19)*(JN3:JN42="L"))+SUMPRODUCT((JC3:JC42=GF21)*(JF3:JF42=GF19)*(JN3:JN42="L"))+SUMPRODUCT((JC3:JC42=GF22)*(JF3:JF42=GF19)*(JN3:JN42="L"))</f>
        <v>0</v>
      </c>
      <c r="GJ19" s="75">
        <f ca="1">IF(GF19&lt;&gt;"",VLOOKUP(GF19,EI4:EM29,5,FALSE),0)</f>
        <v>0</v>
      </c>
      <c r="GK19" s="75">
        <f ca="1">IF(GF19&lt;&gt;"",VLOOKUP(GF19,EI4:EN29,6,FALSE),0)</f>
        <v>0</v>
      </c>
      <c r="GL19" s="75">
        <f ca="1">GJ19-GK19+1000</f>
        <v>1000</v>
      </c>
      <c r="GM19" s="75">
        <f ca="1">IF(GF19&lt;&gt;"",VLOOKUP(GF19,EI4:EP29,8,FALSE),0)</f>
        <v>0</v>
      </c>
      <c r="GN19" s="75">
        <f ca="1">IF(GF19&lt;&gt;"",VLOOKUP(GF19,EI4:EQ29,9,FALSE),0)</f>
        <v>0</v>
      </c>
      <c r="GO19" s="75">
        <f ca="1">GM19-GN19+1000</f>
        <v>1000</v>
      </c>
      <c r="GP19" s="75" t="str">
        <f ca="1">IF(GF19&lt;&gt;"",VLOOKUP(GF19,EI18:EM22,5,FALSE),"")</f>
        <v/>
      </c>
      <c r="GQ19" s="75" t="str">
        <f ca="1">IF(GF19&lt;&gt;"",VLOOKUP(GF19,EI18:EP22,8,FALSE),"")</f>
        <v/>
      </c>
      <c r="GR19" s="75" t="str">
        <f ca="1">IF(GF19&lt;&gt;"",VLOOKUP(GF19,EI18:EW22,15,FALSE),"")</f>
        <v/>
      </c>
      <c r="GS19" s="75">
        <f ca="1">SUMPRODUCT((JC3:JC42=GF19)*(JF3:JF42=GF20)*JI3:JI42)+SUMPRODUCT((JC3:JC42=GF19)*(JF3:JF42=GF21)*JI3:JI42)+SUMPRODUCT((JC3:JC42=GF19)*(JF3:JF42=GF22)*JI3:JI42)+SUMPRODUCT((JC3:JC42=GF20)*(JF3:JF42=GF19)*JJ3:JJ42)+SUMPRODUCT((JC3:JC42=GF21)*(JF3:JF42=GF19)*JJ3:JJ42)+SUMPRODUCT((JC3:JC42=GF22)*(JF3:JF42=GF19)*JJ3:JJ42)</f>
        <v>0</v>
      </c>
      <c r="GT19" s="75">
        <f ca="1">SUMPRODUCT((JC3:JC42=GF19)*(JF3:JF42=GF20)*JK3:JK42)+SUMPRODUCT((JC3:JC42=GF19)*(JF3:JF42=GF21)*JK3:JK42)+SUMPRODUCT((JC3:JC42=GF19)*(JF3:JF42=GF22)*JK3:JK42)+SUMPRODUCT((JC3:JC42=GF20)*(JF3:JF42=GF19)*JL3:JL42)+SUMPRODUCT((JC3:JC42=GF21)*(JF3:JF42=GF19)*JL3:JL42)+SUMPRODUCT((JC3:JC42=GF22)*(JF3:JF42=GF19)*JL3:JL42)</f>
        <v>0</v>
      </c>
      <c r="GU19" s="75">
        <f ca="1">GG19*4+GH19*2+GS19+GT19</f>
        <v>0</v>
      </c>
      <c r="GV19" s="75" t="str">
        <f ca="1">IF(GF19&lt;&gt;"",RANK(GU19,GU19:GU22),"")</f>
        <v/>
      </c>
      <c r="GW19" s="75">
        <f ca="1">SUMPRODUCT((GU19:GU22=GU19)*(GL19:GL22&gt;GL19))</f>
        <v>0</v>
      </c>
      <c r="GX19" s="75">
        <f ca="1">SUMPRODUCT((GU19:GU22=GU19)*(GL19:GL22=GL19)*(GO19:GO22&gt;GO19))</f>
        <v>0</v>
      </c>
      <c r="GY19" s="75">
        <f ca="1">SUMPRODUCT((GU18:GU22=GU19)*(GL18:GL22=GL19)*(GO18:GO22=GO19)*(GP18:GP22&gt;GP19))</f>
        <v>0</v>
      </c>
      <c r="GZ19" s="75">
        <f ca="1">SUMPRODUCT((GU18:GU22=GU19)*(GL18:GL22=GL19)*(GO18:GO22=GO19)*(GP18:GP22=GP19)*(GQ18:GQ22&gt;GQ19))</f>
        <v>0</v>
      </c>
      <c r="HA19" s="75">
        <f ca="1">SUMPRODUCT((GU18:GU22=GU19)*(GL18:GL22=GL19)*(GO18:GO22=GO19)*(GP18:GP22=GP19)*(GQ18:GQ22=GQ19)*(GR18:GR22&gt;GR19))</f>
        <v>0</v>
      </c>
      <c r="HB19" s="75" t="str">
        <f t="shared" ref="HB19:HB22" ca="1" si="127">IF(GF19&lt;&gt;"",SUM(GV19:HA19)+1,"")</f>
        <v/>
      </c>
      <c r="HC19" s="75" t="str">
        <f ca="1">IF(GF19&lt;&gt;"",INDEX(GF19:GF22,MATCH(2,HB19:HB22,0),0),"")</f>
        <v/>
      </c>
      <c r="IZ19" s="75" t="str">
        <f ca="1">IF(HC19&lt;&gt;"",HC19,IF(GE19&lt;&gt;"",GE19,FA19))</f>
        <v>Georgia</v>
      </c>
      <c r="JA19" s="75">
        <v>2</v>
      </c>
      <c r="JB19" s="75">
        <v>17</v>
      </c>
      <c r="JC19" s="75" t="str">
        <f t="shared" si="4"/>
        <v>Australia</v>
      </c>
      <c r="JD19" s="75" t="str">
        <f ca="1">IF(OFFSET('Prediction Sheet'!$W29,0,JD$1)&lt;&gt;"",OFFSET('Prediction Sheet'!$W29,0,JD$1),"")</f>
        <v/>
      </c>
      <c r="JE19" s="75" t="str">
        <f ca="1">IF(OFFSET('Prediction Sheet'!$Y29,0,JD$1)&lt;&gt;"",OFFSET('Prediction Sheet'!$Y29,0,JD$1),"")</f>
        <v/>
      </c>
      <c r="JF19" s="75" t="str">
        <f t="shared" si="5"/>
        <v>Uruguay</v>
      </c>
      <c r="JG19" s="75" t="str">
        <f ca="1">IF(OFFSET('Prediction Sheet'!$AA29,0,JF$1)&lt;&gt;"",OFFSET('Prediction Sheet'!$AA29,0,JF$1),"")</f>
        <v/>
      </c>
      <c r="JH19" s="75" t="str">
        <f ca="1">IF(OFFSET('Prediction Sheet'!$AC29,0,JG$1)&lt;&gt;"",OFFSET('Prediction Sheet'!$AC29,0,JG$1),"")</f>
        <v/>
      </c>
      <c r="JI19" s="75">
        <f t="shared" ca="1" si="6"/>
        <v>0</v>
      </c>
      <c r="JJ19" s="75">
        <f t="shared" ca="1" si="7"/>
        <v>0</v>
      </c>
      <c r="JK19" s="75">
        <f t="shared" ca="1" si="8"/>
        <v>0</v>
      </c>
      <c r="JL19" s="75">
        <f t="shared" ca="1" si="9"/>
        <v>0</v>
      </c>
      <c r="JM19" s="75" t="str">
        <f t="shared" ca="1" si="10"/>
        <v/>
      </c>
      <c r="JN19" s="75" t="str">
        <f t="shared" ca="1" si="11"/>
        <v/>
      </c>
    </row>
    <row r="20" spans="1:274" x14ac:dyDescent="0.2">
      <c r="A20" s="75">
        <f>VLOOKUP(B20,DS18:DT22,2,FALSE)</f>
        <v>3</v>
      </c>
      <c r="B20" s="75" t="s">
        <v>34</v>
      </c>
      <c r="C20" s="75">
        <f t="shared" si="94"/>
        <v>0</v>
      </c>
      <c r="D20" s="75">
        <f t="shared" si="95"/>
        <v>0</v>
      </c>
      <c r="E20" s="75">
        <f t="shared" si="96"/>
        <v>0</v>
      </c>
      <c r="F20" s="75">
        <f>SUMIF($DV$3:$DV$60,B20,$DW$3:$DW$60)+SUMIF($DY$3:$DY$60,B20,$DX$3:$DX$60)</f>
        <v>0</v>
      </c>
      <c r="G20" s="75">
        <f>SUMIF($DY$3:$DY$60,B20,$DW$3:$DW$60)+SUMIF($DV$3:$DV$60,B20,$DX$3:$DX$60)</f>
        <v>0</v>
      </c>
      <c r="H20" s="75">
        <f t="shared" si="97"/>
        <v>1000</v>
      </c>
      <c r="I20" s="75">
        <f>SUMIF(Tournament!$H$13:$H$52,B20,Tournament!$O$13:$O$52)+SUMIF(Tournament!$N$13:$N$52,B20,Tournament!$Q$13:$Q$52)</f>
        <v>0</v>
      </c>
      <c r="J20" s="75">
        <f>SUMIF(Tournament!$N$13:$N$52,B20,Tournament!$O$13:$O$52)+SUMIF(Tournament!$H$13:$H$52,B20,Tournament!$Q$13:$Q$52)</f>
        <v>0</v>
      </c>
      <c r="K20" s="75">
        <f t="shared" si="98"/>
        <v>1000</v>
      </c>
      <c r="L20" s="75">
        <f t="shared" si="99"/>
        <v>0</v>
      </c>
      <c r="M20" s="75">
        <f>SUMIF(DV:DV,B20,EB:EB)+SUMIF(DY:DY,B20,EC:EC)</f>
        <v>4</v>
      </c>
      <c r="N20" s="75">
        <f>SUMIF(DV:DV,B20,ED:ED)+SUMIF(DY:DY,B20,EE:EE)</f>
        <v>0</v>
      </c>
      <c r="O20" s="75">
        <f t="shared" si="100"/>
        <v>4</v>
      </c>
      <c r="P20" s="75">
        <v>12</v>
      </c>
      <c r="Q20" s="75">
        <f t="shared" si="111"/>
        <v>1</v>
      </c>
      <c r="S20" s="75">
        <f>RANK(O20,$O$18:$O$22)+COUNTIF($O$18:O20,O20)-1</f>
        <v>3</v>
      </c>
      <c r="T20" s="75" t="str">
        <f>INDEX($B$18:$B$22,MATCH(3,$S$18:$S$22,0),0)</f>
        <v>Tonga</v>
      </c>
      <c r="U20" s="75">
        <f t="shared" si="112"/>
        <v>1</v>
      </c>
      <c r="V20" s="75" t="str">
        <f>IF(AND(V19&lt;&gt;"",U20=1),T20,"")</f>
        <v>Tonga</v>
      </c>
      <c r="W20" s="75" t="str">
        <f>IF(AND(W19&lt;&gt;"",U21=2),T21,"")</f>
        <v/>
      </c>
      <c r="X20" s="75" t="str">
        <f>IF(AND(X19&lt;&gt;"",U22=3),T22,"")</f>
        <v/>
      </c>
      <c r="AA20" s="75" t="str">
        <f t="shared" si="113"/>
        <v>Tonga</v>
      </c>
      <c r="AB20" s="75">
        <f>SUMPRODUCT((DV3:DV42=AA20)*(DY3:DY42=AA21)*(EF3:EF42="W"))+SUMPRODUCT((DV3:DV42=AA20)*(DY3:DY42=AA22)*(EF3:EF42="W"))+SUMPRODUCT((DV3:DV42=AA20)*(DY3:DY42=AA18)*(EF3:EF42="W"))+SUMPRODUCT((DV3:DV42=AA20)*(DY3:DY42=AA19)*(EF3:EF42="W"))+SUMPRODUCT((DV3:DV42=AA21)*(DY3:DY42=AA20)*(EG3:EG42="W"))+SUMPRODUCT((DV3:DV42=AA22)*(DY3:DY42=AA20)*(EG3:EG42="W"))+SUMPRODUCT((DV3:DV42=AA18)*(DY3:DY42=AA20)*(EG3:EG42="W"))+SUMPRODUCT((DV3:DV42=AA19)*(DY3:DY42=AA20)*(EG3:EG42="W"))</f>
        <v>0</v>
      </c>
      <c r="AC20" s="75">
        <f>SUMPRODUCT((DV3:DV42=AA20)*(DY3:DY42=AA21)*(EF3:EF42="D"))+SUMPRODUCT((DV3:DV42=AA20)*(DY3:DY42=AA22)*(EF3:EF42="D"))+SUMPRODUCT((DV3:DV42=AA20)*(DY3:DY42=AA18)*(EF3:EF42="D"))+SUMPRODUCT((DV3:DV42=AA20)*(DY3:DY42=AA19)*(EF3:EF42="D"))+SUMPRODUCT((DV3:DV42=AA21)*(DY3:DY42=AA20)*(EF3:EF42="D"))+SUMPRODUCT((DV3:DV42=AA22)*(DY3:DY42=AA20)*(EF3:EF42="D"))+SUMPRODUCT((DV3:DV42=AA18)*(DY3:DY42=AA20)*(EF3:EF42="D"))+SUMPRODUCT((DV3:DV42=AA19)*(DY3:DY42=AA20)*(EF3:EF42="D"))</f>
        <v>0</v>
      </c>
      <c r="AD20" s="75">
        <f>SUMPRODUCT((DV3:DV42=AA20)*(DY3:DY42=AA21)*(EF3:EF42="L"))+SUMPRODUCT((DV3:DV42=AA20)*(DY3:DY42=AA22)*(EF3:EF42="L"))+SUMPRODUCT((DV3:DV42=AA20)*(DY3:DY42=AA18)*(EF3:EF42="L"))+SUMPRODUCT((DV3:DV42=AA20)*(DY3:DY42=AA19)*(EF3:EF42="L"))+SUMPRODUCT((DV3:DV42=AA21)*(DY3:DY42=AA20)*(EG3:EG42="L"))+SUMPRODUCT((DV3:DV42=AA22)*(DY3:DY42=AA20)*(EG3:EG42="L"))+SUMPRODUCT((DV3:DV42=AA18)*(DY3:DY42=AA20)*(EG3:EG42="L"))+SUMPRODUCT((DV3:DV42=AA19)*(DY3:DY42=AA20)*(EG3:EG42="L"))</f>
        <v>0</v>
      </c>
      <c r="AE20" s="75">
        <f>IF(AA20&lt;&gt;"",VLOOKUP(AA20,B4:F29,5,FALSE),0)</f>
        <v>0</v>
      </c>
      <c r="AF20" s="75">
        <f>IF(AA20&lt;&gt;"",VLOOKUP(AA20,B4:G29,6,FALSE),0)</f>
        <v>0</v>
      </c>
      <c r="AG20" s="75">
        <f>AE20-AF20+1000</f>
        <v>1000</v>
      </c>
      <c r="AH20" s="75">
        <f>IF(AA20&lt;&gt;"",VLOOKUP(AA20,B4:I29,8,FALSE),0)</f>
        <v>0</v>
      </c>
      <c r="AI20" s="75">
        <f>IF(AA20&lt;&gt;"",VLOOKUP(AA20,B4:J29,9,FALSE),0)</f>
        <v>0</v>
      </c>
      <c r="AJ20" s="75">
        <f>IF(AA20&lt;&gt;"",AH20-AI20+1000,"")</f>
        <v>1000</v>
      </c>
      <c r="AK20" s="75">
        <f>IF(AA20&lt;&gt;"",VLOOKUP(AA20,B18:F22,5,FALSE),"")</f>
        <v>0</v>
      </c>
      <c r="AL20" s="75">
        <f>IF(AA20&lt;&gt;"",VLOOKUP(AA20,B18:I22,8,FALSE),"")</f>
        <v>0</v>
      </c>
      <c r="AM20" s="75">
        <f>IF(AA20&lt;&gt;"",VLOOKUP(AA20,B18:P22,15,FALSE),"")</f>
        <v>12</v>
      </c>
      <c r="AN20" s="75">
        <f>SUMPRODUCT((DV3:DV42=AA20)*(DY3:DY42=AA21)*EB3:EB42)+SUMPRODUCT((DV3:DV42=AA20)*(DY3:DY42=AA22)*EB3:EB42)+SUMPRODUCT((DV3:DV42=AA20)*(DY3:DY42=AA18)*EB3:EB42)+SUMPRODUCT((DV3:DV42=AA20)*(DY3:DY42=AA19)*EB3:EB42)+SUMPRODUCT((DV3:DV42=AA21)*(DY3:DY42=AA20)*EC3:EC42)+SUMPRODUCT((DV3:DV42=AA22)*(DY3:DY42=AA20)*EC3:EC42)+SUMPRODUCT((DV3:DV42=AA18)*(DY3:DY42=AA20)*EC3:EC42)+SUMPRODUCT((DV3:DV42=AA19)*(DY3:DY42=AA20)*EC3:EC42)</f>
        <v>4</v>
      </c>
      <c r="AO20" s="75">
        <f>SUMPRODUCT((DV3:DV42=AA20)*(DY3:DY42=AA21)*ED3:ED42)+SUMPRODUCT((DV3:DV42=AA20)*(DY3:DY42=AA22)*ED3:ED42)+SUMPRODUCT((DV3:DV42=AA20)*(DY3:DY42=AA18)*ED3:ED42)+SUMPRODUCT((DV3:DV42=AA20)*(DY3:DY42=AA19)*ED3:ED42)+SUMPRODUCT((DV3:DV42=AA21)*(DY3:DY42=AA20)*EE3:EE42)+SUMPRODUCT((DV3:DV42=AA22)*(DY3:DY42=AA20)*EE3:EE42)+SUMPRODUCT((DV3:DV42=AA18)*(DY3:DY42=AA20)*EE3:EE42)+SUMPRODUCT((DV3:DV42=AA19)*(DY3:DY42=AA20)*EE3:EE42)</f>
        <v>0</v>
      </c>
      <c r="AP20" s="75">
        <f>IF(AA20&lt;&gt;"",AB20*4+AC20*2+AN20+AO20,"")</f>
        <v>4</v>
      </c>
      <c r="AQ20" s="75">
        <f>IF(AA20&lt;&gt;"",RANK(AP20,AP18:AP22),"")</f>
        <v>1</v>
      </c>
      <c r="AR20" s="75">
        <f>SUMPRODUCT((AP18:AP22=AP20)*(AG18:AG22&gt;AG20))</f>
        <v>0</v>
      </c>
      <c r="AS20" s="75">
        <f>SUMPRODUCT((AP18:AP22=AP20)*(AG18:AG22=AG20)*(AJ18:AJ22&gt;AJ20))</f>
        <v>0</v>
      </c>
      <c r="AT20" s="75">
        <f>SUMPRODUCT((AP18:AP22=AP20)*(AG18:AG22=AG20)*(AJ18:AJ22=AJ20)*(AK18:AK22&gt;AK20))</f>
        <v>0</v>
      </c>
      <c r="AU20" s="75">
        <f>SUMPRODUCT((AP18:AP22=AP20)*(AG18:AG22=AG20)*(AJ18:AJ22=AJ20)*(AK18:AK22=AK20)*(AL18:AL22&gt;AL20))</f>
        <v>0</v>
      </c>
      <c r="AV20" s="75">
        <f>SUMPRODUCT((AP18:AP22=AP20)*(AG18:AG22=AG20)*(AJ18:AJ22=AJ20)*(AK18:AK22=AK20)*(AL18:AL22=AL20)*(AM18:AM22&gt;AM20))</f>
        <v>2</v>
      </c>
      <c r="AW20" s="75">
        <f t="shared" si="116"/>
        <v>3</v>
      </c>
      <c r="AX20" s="75" t="str">
        <f>IF(AA20&lt;&gt;"",INDEX(AA18:AA22,MATCH(3,AW18:AW22,0),0),"")</f>
        <v>Tonga</v>
      </c>
      <c r="AY20" s="75" t="str">
        <f>IF(W19&lt;&gt;"",W19,"")</f>
        <v/>
      </c>
      <c r="AZ20" s="75">
        <f>SUMPRODUCT((DV3:DV42=AY20)*(DY3:DY42=AY21)*(EF3:EF42="W"))+SUMPRODUCT((DV3:DV42=AY20)*(DY3:DY42=AY22)*(EF3:EF42="W"))+SUMPRODUCT((DV3:DV42=AY20)*(DY3:DY42=AY19)*(EF3:EF42="W"))+SUMPRODUCT((DV3:DV42=AY21)*(DY3:DY42=AY20)*(EG3:EG42="W"))+SUMPRODUCT((DV3:DV42=AY22)*(DY3:DY42=AY20)*(EG3:EG42="W"))+SUMPRODUCT((DV3:DV42=AY19)*(DY3:DY42=AY20)*(EG3:EG42="W"))</f>
        <v>0</v>
      </c>
      <c r="BA20" s="75">
        <f>SUMPRODUCT((DV3:DV42=AY20)*(DY3:DY42=AY21)*(EF3:EF42="D"))+SUMPRODUCT((DV3:DV42=AY20)*(DY3:DY42=AY22)*(EF3:EF42="D"))+SUMPRODUCT((DV3:DV42=AY20)*(DY3:DY42=AY19)*(EF3:EF42="D"))+SUMPRODUCT((DV3:DV42=AY21)*(DY3:DY42=AY20)*(EF3:EF42="D"))+SUMPRODUCT((DV3:DV42=AY22)*(DY3:DY42=AY20)*(EF3:EF42="D"))+SUMPRODUCT((DV3:DV42=AY19)*(DY3:DY42=AY20)*(EF3:EF42="D"))</f>
        <v>0</v>
      </c>
      <c r="BB20" s="75">
        <f>SUMPRODUCT((DV3:DV42=AY20)*(DY3:DY42=AY21)*(EF3:EF42="L"))+SUMPRODUCT((DV3:DV42=AY20)*(DY3:DY42=AY22)*(EF3:EF42="L"))+SUMPRODUCT((DV3:DV42=AY20)*(DY3:DY42=AY19)*(EF3:EF42="L"))+SUMPRODUCT((DV3:DV42=AY21)*(DY3:DY42=AY20)*(EG3:EG42="L"))+SUMPRODUCT((DV3:DV42=AY22)*(DY3:DY42=AY20)*(EG3:EG42="L"))+SUMPRODUCT((DV3:DV42=AY19)*(DY3:DY42=AY20)*(EG3:EG42="L"))</f>
        <v>0</v>
      </c>
      <c r="BC20" s="75">
        <f>IF(AY20&lt;&gt;"",VLOOKUP(AY20,B4:F29,5,FALSE),0)</f>
        <v>0</v>
      </c>
      <c r="BD20" s="75">
        <f>IF(AY20&lt;&gt;"",VLOOKUP(AY20,B4:G29,6,FALSE),0)</f>
        <v>0</v>
      </c>
      <c r="BE20" s="75">
        <f>BC20-BD20+1000</f>
        <v>1000</v>
      </c>
      <c r="BF20" s="75">
        <f>IF(AY20&lt;&gt;"",VLOOKUP(AY20,B4:I29,8,FALSE),0)</f>
        <v>0</v>
      </c>
      <c r="BG20" s="75">
        <f>IF(AY20&lt;&gt;"",VLOOKUP(AY20,B4:J29,9,FALSE),0)</f>
        <v>0</v>
      </c>
      <c r="BH20" s="75">
        <f t="shared" ref="BH20" si="128">BF20-BG20+1000</f>
        <v>1000</v>
      </c>
      <c r="BI20" s="75" t="str">
        <f>IF(AY20&lt;&gt;"",VLOOKUP(AY20,B18:F22,5,FALSE),"")</f>
        <v/>
      </c>
      <c r="BJ20" s="75" t="str">
        <f>IF(AY20&lt;&gt;"",VLOOKUP(AY20,B18:I22,8,FALSE),"")</f>
        <v/>
      </c>
      <c r="BK20" s="75" t="str">
        <f>IF(AY20&lt;&gt;"",VLOOKUP(AY20,B18:P22,15,FALSE),"")</f>
        <v/>
      </c>
      <c r="BL20" s="75">
        <f>SUMPRODUCT((DV3:DV42=AY20)*(DY3:DY42=AY21)*EB3:EB42)+SUMPRODUCT((DV3:DV42=AY20)*(DY3:DY42=AY22)*EB3:EB42)+SUMPRODUCT((DV3:DV42=AY20)*(DY3:DY42=AY19)*EB3:EB42)+SUMPRODUCT((DV3:DV42=AY21)*(DY3:DY42=AY20)*EC3:EC42)+SUMPRODUCT((DV3:DV42=AY22)*(DY3:DY42=AY20)*EC3:EC42)+SUMPRODUCT((DV3:DV42=AY19)*(DY3:DY42=AY20)*EC3:EC42)</f>
        <v>0</v>
      </c>
      <c r="BM20" s="75">
        <f>SUMPRODUCT((DV3:DV42=AY20)*(DY3:DY42=AY21)*ED3:ED42)+SUMPRODUCT((DV3:DV42=AY20)*(DY3:DY42=AY22)*ED3:ED42)+SUMPRODUCT((DV3:DV42=AY20)*(DY3:DY42=AY19)*ED3:ED42)+SUMPRODUCT((DV3:DV42=AY21)*(DY3:DY42=AY20)*EE3:EE42)+SUMPRODUCT((DV3:DV42=AY22)*(DY3:DY42=AY20)*EE3:EE42)+SUMPRODUCT((DV3:DV42=AY19)*(DY3:DY42=AY20)*EE3:EE42)</f>
        <v>0</v>
      </c>
      <c r="BN20" s="75">
        <f>AZ20*4+BA20*2+BL20+BM20</f>
        <v>0</v>
      </c>
      <c r="BO20" s="75" t="str">
        <f>IF(AY20&lt;&gt;"",RANK(BN20,BN19:BN22),"")</f>
        <v/>
      </c>
      <c r="BP20" s="75">
        <f>SUMPRODUCT((BN19:BN22=BN20)*(BE19:BE22&gt;BE20))</f>
        <v>0</v>
      </c>
      <c r="BQ20" s="75">
        <f>SUMPRODUCT((BN19:BN22=BN20)*(BE19:BE22=BE20)*(BH19:BH22&gt;BH20))</f>
        <v>0</v>
      </c>
      <c r="BR20" s="75">
        <f>SUMPRODUCT((BN18:BN22=BN20)*(BE18:BE22=BE20)*(BH18:BH22=BH20)*(BI18:BI22&gt;BI20))</f>
        <v>0</v>
      </c>
      <c r="BS20" s="75">
        <f>SUMPRODUCT((BN18:BN22=BN20)*(BE18:BE22=BE20)*(BH18:BH22=BH20)*(BI18:BI22=BI20)*(BJ18:BJ22&gt;BJ20))</f>
        <v>0</v>
      </c>
      <c r="BT20" s="75">
        <f>SUMPRODUCT((BN18:BN22=BN20)*(BE18:BE22=BE20)*(BH18:BH22=BH20)*(BI18:BI22=BI20)*(BJ18:BJ22=BJ20)*(BK18:BK22&gt;BK20))</f>
        <v>0</v>
      </c>
      <c r="BU20" s="75" t="str">
        <f t="shared" si="117"/>
        <v/>
      </c>
      <c r="BV20" s="75" t="str">
        <f>IF(AY20&lt;&gt;"",INDEX(AY19:AY22,MATCH(3,BU19:BU22,0),0),"")</f>
        <v/>
      </c>
      <c r="BW20" s="75" t="str">
        <f>IF(X18&lt;&gt;"",X18,"")</f>
        <v/>
      </c>
      <c r="BX20" s="75">
        <f>SUMPRODUCT((DV3:DV42=BW20)*(DY3:DY42=BW21)*(EF3:EF42="W"))+SUMPRODUCT((DV3:DV42=BW20)*(DY3:DY42=BW22)*(EF3:EF42="W"))+SUMPRODUCT((DV3:DV42=BW20)*(DY3:DY42=BW23)*(EF3:EF42="W"))+SUMPRODUCT((DV3:DV42=BW21)*(DY3:DY42=BW20)*(EG3:EG42="W"))+SUMPRODUCT((DV3:DV42=BW22)*(DY3:DY42=BW20)*(EG3:EG42="W"))+SUMPRODUCT((DV3:DV42=BW23)*(DY3:DY42=BW20)*(EG3:EG42="W"))</f>
        <v>0</v>
      </c>
      <c r="BY20" s="75">
        <f>SUMPRODUCT((DV3:DV42=BW20)*(DY3:DY42=BW21)*(EF3:EF42="D"))+SUMPRODUCT((DV3:DV42=BW20)*(DY3:DY42=BW22)*(EF3:EF42="D"))+SUMPRODUCT((DV3:DV42=BW20)*(DY3:DY42=BW23)*(EF3:EF42="D"))+SUMPRODUCT((DV3:DV42=BW21)*(DY3:DY42=BW20)*(EF3:EF42="D"))+SUMPRODUCT((DV3:DV42=BW22)*(DY3:DY42=BW20)*(EF3:EF42="D"))+SUMPRODUCT((DV3:DV42=BW23)*(DY3:DY42=BW20)*(EF3:EF42="D"))</f>
        <v>0</v>
      </c>
      <c r="BZ20" s="75">
        <f>SUMPRODUCT((DV3:DV42=BW20)*(DY3:DY42=BW21)*(EF3:EF42="L"))+SUMPRODUCT((DV3:DV42=BW20)*(DY3:DY42=BW22)*(EF3:EF42="L"))+SUMPRODUCT((DV3:DV42=BW20)*(DY3:DY42=BW23)*(EF3:EF42="L"))+SUMPRODUCT((DV3:DV42=BW21)*(DY3:DY42=BW20)*(EG3:EG42="L"))+SUMPRODUCT((DV3:DV42=BW22)*(DY3:DY42=BW20)*(EG3:EG42="L"))+SUMPRODUCT((DV3:DV42=BW23)*(DY3:DY42=BW20)*(EG3:EG42="L"))</f>
        <v>0</v>
      </c>
      <c r="CA20" s="75">
        <f>IF(BW20&lt;&gt;"",VLOOKUP(BW20,B4:F29,5,FALSE),0)</f>
        <v>0</v>
      </c>
      <c r="CB20" s="75">
        <f>IF(BW20&lt;&gt;"",VLOOKUP(BW20,B4:G29,6,FALSE),0)</f>
        <v>0</v>
      </c>
      <c r="CC20" s="75">
        <f>CA20-CB20+1000</f>
        <v>1000</v>
      </c>
      <c r="CD20" s="75">
        <f>IF(BW20&lt;&gt;"",VLOOKUP(BW20,B4:I29,8,FALSE),0)</f>
        <v>0</v>
      </c>
      <c r="CE20" s="75">
        <f>IF(BW20&lt;&gt;"",VLOOKUP(BW20,B4:J29,9,FALSE),0)</f>
        <v>0</v>
      </c>
      <c r="CF20" s="75">
        <f>CD20-CE20+1000</f>
        <v>1000</v>
      </c>
      <c r="CG20" s="75" t="str">
        <f>IF(BW20&lt;&gt;"",VLOOKUP(BW20,B18:F22,5,FALSE),"")</f>
        <v/>
      </c>
      <c r="CH20" s="75" t="str">
        <f>IF(BW20&lt;&gt;"",VLOOKUP(BW20,B18:I22,8,FALSE),"")</f>
        <v/>
      </c>
      <c r="CI20" s="75" t="str">
        <f>IF(BW20&lt;&gt;"",VLOOKUP(BW20,B18:P22,15,FALSE),"")</f>
        <v/>
      </c>
      <c r="CJ20" s="75">
        <f>SUMPRODUCT((DV3:DV42=BW20)*(DY3:DY42=BW21)*EB3:EB42)+SUMPRODUCT((DV3:DV42=BW20)*(DY3:DY42=BW22)*EB3:EB42)+SUMPRODUCT((DV3:DV42=BW20)*(DY3:DY42=BW23)*EB3:EB42)+SUMPRODUCT((DV3:DV42=BW21)*(DY3:DY42=BW20)*EC3:EC42)+SUMPRODUCT((DV3:DV42=BW22)*(DY3:DY42=BW20)*EC3:EC42)+SUMPRODUCT((DV3:DV42=BW23)*(DY3:DY42=BW20)*EC3:EC42)</f>
        <v>0</v>
      </c>
      <c r="CK20" s="75">
        <f>SUMPRODUCT((DV3:DV42=BW20)*(DY3:DY42=BW21)*ED3:ED42)+SUMPRODUCT((DV3:DV42=BW20)*(DY3:DY42=BW22)*ED3:ED42)+SUMPRODUCT((DV3:DV42=BW20)*(DY3:DY42=BW23)*ED3:ED42)+SUMPRODUCT((DV3:DV42=BW21)*(DY3:DY42=BW20)*EE3:EE42)+SUMPRODUCT((DV3:DV42=BW22)*(DY3:DY42=BW20)*EE3:EE42)+SUMPRODUCT((DV3:DV42=BW23)*(DY3:DY42=BW20)*EE3:EE42)</f>
        <v>0</v>
      </c>
      <c r="CL20" s="75">
        <f>BX20*4+BY20*2+CJ20+CK20</f>
        <v>0</v>
      </c>
      <c r="CM20" s="75" t="str">
        <f>IF(BW20&lt;&gt;"",RANK(CL20,CL20:CL23),"")</f>
        <v/>
      </c>
      <c r="CN20" s="75">
        <f>SUMPRODUCT((CL20:CL23=CL20)*(CC20:CC23&gt;CC20))</f>
        <v>0</v>
      </c>
      <c r="CO20" s="75">
        <f>SUMPRODUCT((CL20:CL23=CL20)*(CC20:CC23=CC20)*(CF20:CF23&gt;CF20))</f>
        <v>0</v>
      </c>
      <c r="CP20" s="75">
        <f>SUMPRODUCT((CL18:CL22=CL20)*(CC18:CC22=CC20)*(CF18:CF22=CF20)*(CG18:CG22&gt;CG20))</f>
        <v>0</v>
      </c>
      <c r="CQ20" s="75">
        <f>SUMPRODUCT((CL18:CL22=CL20)*(CC18:CC22=CC20)*(CF18:CF22=CF20)*(CG18:CG22=CG20)*(CH18:CH22&gt;CH20))</f>
        <v>0</v>
      </c>
      <c r="CR20" s="75">
        <f>SUMPRODUCT((CL18:CL22=CL20)*(CC18:CC22=CC20)*(CF18:CF22=CF20)*(CG18:CG22=CG20)*(CH18:CH22=CH20)*(CI18:CI22&gt;CI20))</f>
        <v>0</v>
      </c>
      <c r="CS20" s="75" t="str">
        <f t="shared" ref="CS20:CS22" si="129">IF(BW20&lt;&gt;"",SUM(CM20:CR20)+2,"")</f>
        <v/>
      </c>
      <c r="CT20" s="75" t="str">
        <f>IF(BW20&lt;&gt;"",INDEX(BW20:BW22,MATCH(3,CS20:CS22,0),0),"")</f>
        <v/>
      </c>
      <c r="DS20" s="75" t="str">
        <f>IF(CT20&lt;&gt;"",CT20,IF(BV20&lt;&gt;"",BV20,IF(AX20&lt;&gt;"",AX20,T20)))</f>
        <v>Tonga</v>
      </c>
      <c r="DT20" s="75">
        <v>3</v>
      </c>
      <c r="DU20" s="75">
        <v>18</v>
      </c>
      <c r="DV20" s="75" t="str">
        <f>Tournament!H30</f>
        <v>Scotland</v>
      </c>
      <c r="DW20" s="75">
        <f>IF(AND(Tournament!J30&lt;&gt;"",Tournament!L30&lt;&gt;""),Tournament!J30,0)</f>
        <v>0</v>
      </c>
      <c r="DX20" s="75">
        <f>IF(AND(Tournament!L30&lt;&gt;"",Tournament!J30&lt;&gt;""),Tournament!L30,0)</f>
        <v>0</v>
      </c>
      <c r="DY20" s="75" t="str">
        <f>Tournament!N30</f>
        <v>USA</v>
      </c>
      <c r="DZ20" s="75">
        <f>IF(Tournament!O30&lt;&gt;"",Tournament!O30,0)</f>
        <v>0</v>
      </c>
      <c r="EA20" s="75">
        <f>IF(Tournament!Q30&lt;&gt;"",Tournament!Q30,0)</f>
        <v>0</v>
      </c>
      <c r="EB20" s="75">
        <f>IF(DW20&lt;&gt;"",IF(Tournament!O30&gt;3,1,0),0)</f>
        <v>1</v>
      </c>
      <c r="EC20" s="75">
        <f>IF(DX20&lt;&gt;"",IF(Tournament!Q30&gt;3,1,0),0)</f>
        <v>1</v>
      </c>
      <c r="ED20" s="75">
        <f t="shared" si="1"/>
        <v>0</v>
      </c>
      <c r="EE20" s="75">
        <f t="shared" si="2"/>
        <v>0</v>
      </c>
      <c r="EF20" s="75" t="str">
        <f>IF(AND(Tournament!J30&lt;&gt;"",Tournament!L30&lt;&gt;""),IF(DW20&gt;DX20,"W",IF(DW20=DX20,"D","L")),"")</f>
        <v/>
      </c>
      <c r="EG20" s="75" t="str">
        <f t="shared" si="3"/>
        <v/>
      </c>
      <c r="EH20" s="75">
        <f ca="1">VLOOKUP(EI20,IZ18:JA22,2,FALSE)</f>
        <v>3</v>
      </c>
      <c r="EI20" s="75" t="s">
        <v>34</v>
      </c>
      <c r="EJ20" s="75">
        <f t="shared" ca="1" si="102"/>
        <v>0</v>
      </c>
      <c r="EK20" s="75">
        <f t="shared" ca="1" si="103"/>
        <v>0</v>
      </c>
      <c r="EL20" s="75">
        <f t="shared" ca="1" si="104"/>
        <v>0</v>
      </c>
      <c r="EM20" s="75">
        <f t="shared" ca="1" si="105"/>
        <v>0</v>
      </c>
      <c r="EN20" s="75">
        <f t="shared" ca="1" si="118"/>
        <v>0</v>
      </c>
      <c r="EO20" s="75">
        <f t="shared" ca="1" si="106"/>
        <v>1000</v>
      </c>
      <c r="EP20" s="75">
        <f t="shared" ca="1" si="119"/>
        <v>0</v>
      </c>
      <c r="EQ20" s="75">
        <f t="shared" ca="1" si="120"/>
        <v>0</v>
      </c>
      <c r="ER20" s="75">
        <f t="shared" ca="1" si="107"/>
        <v>1000</v>
      </c>
      <c r="ES20" s="75">
        <f t="shared" ca="1" si="108"/>
        <v>0</v>
      </c>
      <c r="ET20" s="75">
        <f ca="1">SUMIF(JC:JC,EI20,JI:JI)+SUMIF(JF:JF,EI20,JJ:JJ)</f>
        <v>0</v>
      </c>
      <c r="EU20" s="75">
        <f ca="1">SUMIF(JC:JC,EI20,JK:JK)+SUMIF(JF:JF,EI20,JL:JL)</f>
        <v>0</v>
      </c>
      <c r="EV20" s="75">
        <f t="shared" ca="1" si="109"/>
        <v>0</v>
      </c>
      <c r="EW20" s="75">
        <v>12</v>
      </c>
      <c r="EX20" s="75">
        <f t="shared" ca="1" si="121"/>
        <v>1</v>
      </c>
      <c r="EZ20" s="75">
        <f ca="1">RANK(EV20,EV$18:EV$22)+COUNTIF(EV$18:EV20,EV20)-1</f>
        <v>3</v>
      </c>
      <c r="FA20" s="75" t="str">
        <f ca="1">INDEX(EI$18:EI$22,MATCH(3,EZ$18:EZ$22,0),0)</f>
        <v>Tonga</v>
      </c>
      <c r="FB20" s="75">
        <f t="shared" ca="1" si="122"/>
        <v>1</v>
      </c>
      <c r="FC20" s="75" t="str">
        <f ca="1">IF(AND(FC19&lt;&gt;"",FB20=1),FA20,"")</f>
        <v>Tonga</v>
      </c>
      <c r="FD20" s="75" t="str">
        <f ca="1">IF(AND(FD19&lt;&gt;"",FB21=2),FA21,"")</f>
        <v/>
      </c>
      <c r="FE20" s="75" t="str">
        <f ca="1">IF(AND(FE19&lt;&gt;"",FB22=3),FA22,"")</f>
        <v/>
      </c>
      <c r="FH20" s="75" t="str">
        <f t="shared" ca="1" si="123"/>
        <v>Tonga</v>
      </c>
      <c r="FI20" s="75">
        <f ca="1">SUMPRODUCT((JC3:JC42=FH20)*(JF3:JF42=FH21)*(JM3:JM42="W"))+SUMPRODUCT((JC3:JC42=FH20)*(JF3:JF42=FH22)*(JM3:JM42="W"))+SUMPRODUCT((JC3:JC42=FH20)*(JF3:JF42=FH18)*(JM3:JM42="W"))+SUMPRODUCT((JC3:JC42=FH20)*(JF3:JF42=FH19)*(JM3:JM42="W"))+SUMPRODUCT((JC3:JC42=FH21)*(JF3:JF42=FH20)*(JN3:JN42="W"))+SUMPRODUCT((JC3:JC42=FH22)*(JF3:JF42=FH20)*(JN3:JN42="W"))+SUMPRODUCT((JC3:JC42=FH18)*(JF3:JF42=FH20)*(JN3:JN42="W"))+SUMPRODUCT((JC3:JC42=FH19)*(JF3:JF42=FH20)*(JN3:JN42="W"))</f>
        <v>0</v>
      </c>
      <c r="FJ20" s="75">
        <f ca="1">SUMPRODUCT((JC3:JC42=FH20)*(JF3:JF42=FH21)*(JM3:JM42="D"))+SUMPRODUCT((JC3:JC42=FH20)*(JF3:JF42=FH22)*(JM3:JM42="D"))+SUMPRODUCT((JC3:JC42=FH20)*(JF3:JF42=FH18)*(JM3:JM42="D"))+SUMPRODUCT((JC3:JC42=FH20)*(JF3:JF42=FH19)*(JM3:JM42="D"))+SUMPRODUCT((JC3:JC42=FH21)*(JF3:JF42=FH20)*(JM3:JM42="D"))+SUMPRODUCT((JC3:JC42=FH22)*(JF3:JF42=FH20)*(JM3:JM42="D"))+SUMPRODUCT((JC3:JC42=FH18)*(JF3:JF42=FH20)*(JM3:JM42="D"))+SUMPRODUCT((JC3:JC42=FH19)*(JF3:JF42=FH20)*(JM3:JM42="D"))</f>
        <v>0</v>
      </c>
      <c r="FK20" s="75">
        <f ca="1">SUMPRODUCT((JC3:JC42=FH20)*(JF3:JF42=FH21)*(JM3:JM42="L"))+SUMPRODUCT((JC3:JC42=FH20)*(JF3:JF42=FH22)*(JM3:JM42="L"))+SUMPRODUCT((JC3:JC42=FH20)*(JF3:JF42=FH18)*(JM3:JM42="L"))+SUMPRODUCT((JC3:JC42=FH20)*(JF3:JF42=FH19)*(JM3:JM42="L"))+SUMPRODUCT((JC3:JC42=FH21)*(JF3:JF42=FH20)*(JN3:JN42="L"))+SUMPRODUCT((JC3:JC42=FH22)*(JF3:JF42=FH20)*(JN3:JN42="L"))+SUMPRODUCT((JC3:JC42=FH18)*(JF3:JF42=FH20)*(JN3:JN42="L"))+SUMPRODUCT((JC3:JC42=FH19)*(JF3:JF42=FH20)*(JN3:JN42="L"))</f>
        <v>0</v>
      </c>
      <c r="FL20" s="75">
        <f ca="1">IF(FH20&lt;&gt;"",VLOOKUP(FH20,EI4:EM29,5,FALSE),0)</f>
        <v>0</v>
      </c>
      <c r="FM20" s="75">
        <f ca="1">IF(FH20&lt;&gt;"",VLOOKUP(FH20,EI4:EN29,6,FALSE),0)</f>
        <v>0</v>
      </c>
      <c r="FN20" s="75">
        <f ca="1">FL20-FM20+1000</f>
        <v>1000</v>
      </c>
      <c r="FO20" s="75">
        <f ca="1">IF(FH20&lt;&gt;"",VLOOKUP(FH20,EI4:EP29,8,FALSE),0)</f>
        <v>0</v>
      </c>
      <c r="FP20" s="75">
        <f ca="1">IF(FH20&lt;&gt;"",VLOOKUP(FH20,EI4:EQ29,9,FALSE),0)</f>
        <v>0</v>
      </c>
      <c r="FQ20" s="75">
        <f ca="1">IF(FH20&lt;&gt;"",FO20-FP20+1000,"")</f>
        <v>1000</v>
      </c>
      <c r="FR20" s="75">
        <f ca="1">IF(FH20&lt;&gt;"",VLOOKUP(FH20,EI18:EM22,5,FALSE),"")</f>
        <v>0</v>
      </c>
      <c r="FS20" s="75">
        <f ca="1">IF(FH20&lt;&gt;"",VLOOKUP(FH20,EI18:EP22,8,FALSE),"")</f>
        <v>0</v>
      </c>
      <c r="FT20" s="75">
        <f ca="1">IF(FH20&lt;&gt;"",VLOOKUP(FH20,EI18:EW22,15,FALSE),"")</f>
        <v>12</v>
      </c>
      <c r="FU20" s="75">
        <f ca="1">SUMPRODUCT((JC3:JC42=FH20)*(JF3:JF42=FH21)*JI3:JI42)+SUMPRODUCT((JC3:JC42=FH20)*(JF3:JF42=FH22)*JI3:JI42)+SUMPRODUCT((JC3:JC42=FH20)*(JF3:JF42=FH18)*JI3:JI42)+SUMPRODUCT((JC3:JC42=FH20)*(JF3:JF42=FH19)*JI3:JI42)+SUMPRODUCT((JC3:JC42=FH21)*(JF3:JF42=FH20)*JJ3:JJ42)+SUMPRODUCT((JC3:JC42=FH22)*(JF3:JF42=FH20)*JJ3:JJ42)+SUMPRODUCT((JC3:JC42=FH18)*(JF3:JF42=FH20)*JJ3:JJ42)+SUMPRODUCT((JC3:JC42=FH19)*(JF3:JF42=FH20)*JJ3:JJ42)</f>
        <v>0</v>
      </c>
      <c r="FV20" s="75">
        <f ca="1">SUMPRODUCT((JC3:JC42=FH20)*(JF3:JF42=FH21)*JK3:JK42)+SUMPRODUCT((JC3:JC42=FH20)*(JF3:JF42=FH22)*JK3:JK42)+SUMPRODUCT((JC3:JC42=FH20)*(JF3:JF42=FH18)*JK3:JK42)+SUMPRODUCT((JC3:JC42=FH20)*(JF3:JF42=FH19)*JK3:JK42)+SUMPRODUCT((JC3:JC42=FH21)*(JF3:JF42=FH20)*JL3:JL42)+SUMPRODUCT((JC3:JC42=FH22)*(JF3:JF42=FH20)*JL3:JL42)+SUMPRODUCT((JC3:JC42=FH18)*(JF3:JF42=FH20)*JL3:JL42)+SUMPRODUCT((JC3:JC42=FH19)*(JF3:JF42=FH20)*JL3:JL42)</f>
        <v>0</v>
      </c>
      <c r="FW20" s="75">
        <f ca="1">IF(FH20&lt;&gt;"",FI20*4+FJ20*2+FU20+FV20,"")</f>
        <v>0</v>
      </c>
      <c r="FX20" s="75">
        <f ca="1">IF(FH20&lt;&gt;"",RANK(FW20,FW18:FW22),"")</f>
        <v>1</v>
      </c>
      <c r="FY20" s="75">
        <f ca="1">SUMPRODUCT((FW18:FW22=FW20)*(FN18:FN22&gt;FN20))</f>
        <v>0</v>
      </c>
      <c r="FZ20" s="75">
        <f ca="1">SUMPRODUCT((FW18:FW22=FW20)*(FN18:FN22=FN20)*(FQ18:FQ22&gt;FQ20))</f>
        <v>0</v>
      </c>
      <c r="GA20" s="75">
        <f ca="1">SUMPRODUCT((FW18:FW22=FW20)*(FN18:FN22=FN20)*(FQ18:FQ22=FQ20)*(FR18:FR22&gt;FR20))</f>
        <v>0</v>
      </c>
      <c r="GB20" s="75">
        <f ca="1">SUMPRODUCT((FW18:FW22=FW20)*(FN18:FN22=FN20)*(FQ18:FQ22=FQ20)*(FR18:FR22=FR20)*(FS18:FS22&gt;FS20))</f>
        <v>0</v>
      </c>
      <c r="GC20" s="75">
        <f ca="1">SUMPRODUCT((FW18:FW22=FW20)*(FN18:FN22=FN20)*(FQ18:FQ22=FQ20)*(FR18:FR22=FR20)*(FS18:FS22=FS20)*(FT18:FT22&gt;FT20))</f>
        <v>2</v>
      </c>
      <c r="GD20" s="75">
        <f t="shared" ca="1" si="126"/>
        <v>3</v>
      </c>
      <c r="GE20" s="75" t="str">
        <f ca="1">IF(FH20&lt;&gt;"",INDEX(FH18:FH22,MATCH(3,GD18:GD22,0),0),"")</f>
        <v>Tonga</v>
      </c>
      <c r="GF20" s="75" t="str">
        <f ca="1">IF(FD19&lt;&gt;"",FD19,"")</f>
        <v/>
      </c>
      <c r="GG20" s="75">
        <f ca="1">SUMPRODUCT((JC3:JC42=GF20)*(JF3:JF42=GF21)*(JM3:JM42="W"))+SUMPRODUCT((JC3:JC42=GF20)*(JF3:JF42=GF22)*(JM3:JM42="W"))+SUMPRODUCT((JC3:JC42=GF20)*(JF3:JF42=GF19)*(JM3:JM42="W"))+SUMPRODUCT((JC3:JC42=GF21)*(JF3:JF42=GF20)*(JN3:JN42="W"))+SUMPRODUCT((JC3:JC42=GF22)*(JF3:JF42=GF20)*(JN3:JN42="W"))+SUMPRODUCT((JC3:JC42=GF19)*(JF3:JF42=GF20)*(JN3:JN42="W"))</f>
        <v>0</v>
      </c>
      <c r="GH20" s="75">
        <f ca="1">SUMPRODUCT((JC3:JC42=GF20)*(JF3:JF42=GF21)*(JM3:JM42="D"))+SUMPRODUCT((JC3:JC42=GF20)*(JF3:JF42=GF22)*(JM3:JM42="D"))+SUMPRODUCT((JC3:JC42=GF20)*(JF3:JF42=GF19)*(JM3:JM42="D"))+SUMPRODUCT((JC3:JC42=GF21)*(JF3:JF42=GF20)*(JM3:JM42="D"))+SUMPRODUCT((JC3:JC42=GF22)*(JF3:JF42=GF20)*(JM3:JM42="D"))+SUMPRODUCT((JC3:JC42=GF19)*(JF3:JF42=GF20)*(JM3:JM42="D"))</f>
        <v>0</v>
      </c>
      <c r="GI20" s="75">
        <f ca="1">SUMPRODUCT((JC3:JC42=GF20)*(JF3:JF42=GF21)*(JM3:JM42="L"))+SUMPRODUCT((JC3:JC42=GF20)*(JF3:JF42=GF22)*(JM3:JM42="L"))+SUMPRODUCT((JC3:JC42=GF20)*(JF3:JF42=GF19)*(JM3:JM42="L"))+SUMPRODUCT((JC3:JC42=GF21)*(JF3:JF42=GF20)*(JN3:JN42="L"))+SUMPRODUCT((JC3:JC42=GF22)*(JF3:JF42=GF20)*(JN3:JN42="L"))+SUMPRODUCT((JC3:JC42=GF19)*(JF3:JF42=GF20)*(JN3:JN42="L"))</f>
        <v>0</v>
      </c>
      <c r="GJ20" s="75">
        <f ca="1">IF(GF20&lt;&gt;"",VLOOKUP(GF20,EI4:EM29,5,FALSE),0)</f>
        <v>0</v>
      </c>
      <c r="GK20" s="75">
        <f ca="1">IF(GF20&lt;&gt;"",VLOOKUP(GF20,EI4:EN29,6,FALSE),0)</f>
        <v>0</v>
      </c>
      <c r="GL20" s="75">
        <f ca="1">GJ20-GK20+1000</f>
        <v>1000</v>
      </c>
      <c r="GM20" s="75">
        <f ca="1">IF(GF20&lt;&gt;"",VLOOKUP(GF20,EI4:EP29,8,FALSE),0)</f>
        <v>0</v>
      </c>
      <c r="GN20" s="75">
        <f ca="1">IF(GF20&lt;&gt;"",VLOOKUP(GF20,EI4:EQ29,9,FALSE),0)</f>
        <v>0</v>
      </c>
      <c r="GO20" s="75">
        <f t="shared" ref="GO20" ca="1" si="130">GM20-GN20+1000</f>
        <v>1000</v>
      </c>
      <c r="GP20" s="75" t="str">
        <f ca="1">IF(GF20&lt;&gt;"",VLOOKUP(GF20,EI18:EM22,5,FALSE),"")</f>
        <v/>
      </c>
      <c r="GQ20" s="75" t="str">
        <f ca="1">IF(GF20&lt;&gt;"",VLOOKUP(GF20,EI18:EP22,8,FALSE),"")</f>
        <v/>
      </c>
      <c r="GR20" s="75" t="str">
        <f ca="1">IF(GF20&lt;&gt;"",VLOOKUP(GF20,EI18:EW22,15,FALSE),"")</f>
        <v/>
      </c>
      <c r="GS20" s="75">
        <f ca="1">SUMPRODUCT((JC3:JC42=GF20)*(JF3:JF42=GF21)*JI3:JI42)+SUMPRODUCT((JC3:JC42=GF20)*(JF3:JF42=GF22)*JI3:JI42)+SUMPRODUCT((JC3:JC42=GF20)*(JF3:JF42=GF19)*JI3:JI42)+SUMPRODUCT((JC3:JC42=GF21)*(JF3:JF42=GF20)*JJ3:JJ42)+SUMPRODUCT((JC3:JC42=GF22)*(JF3:JF42=GF20)*JJ3:JJ42)+SUMPRODUCT((JC3:JC42=GF19)*(JF3:JF42=GF20)*JJ3:JJ42)</f>
        <v>0</v>
      </c>
      <c r="GT20" s="75">
        <f ca="1">SUMPRODUCT((JC3:JC42=GF20)*(JF3:JF42=GF21)*JK3:JK42)+SUMPRODUCT((JC3:JC42=GF20)*(JF3:JF42=GF22)*JK3:JK42)+SUMPRODUCT((JC3:JC42=GF20)*(JF3:JF42=GF19)*JK3:JK42)+SUMPRODUCT((JC3:JC42=GF21)*(JF3:JF42=GF20)*JL3:JL42)+SUMPRODUCT((JC3:JC42=GF22)*(JF3:JF42=GF20)*JL3:JL42)+SUMPRODUCT((JC3:JC42=GF19)*(JF3:JF42=GF20)*JL3:JL42)</f>
        <v>0</v>
      </c>
      <c r="GU20" s="75">
        <f ca="1">GG20*4+GH20*2+GS20+GT20</f>
        <v>0</v>
      </c>
      <c r="GV20" s="75" t="str">
        <f ca="1">IF(GF20&lt;&gt;"",RANK(GU20,GU19:GU22),"")</f>
        <v/>
      </c>
      <c r="GW20" s="75">
        <f ca="1">SUMPRODUCT((GU19:GU22=GU20)*(GL19:GL22&gt;GL20))</f>
        <v>0</v>
      </c>
      <c r="GX20" s="75">
        <f ca="1">SUMPRODUCT((GU19:GU22=GU20)*(GL19:GL22=GL20)*(GO19:GO22&gt;GO20))</f>
        <v>0</v>
      </c>
      <c r="GY20" s="75">
        <f ca="1">SUMPRODUCT((GU18:GU22=GU20)*(GL18:GL22=GL20)*(GO18:GO22=GO20)*(GP18:GP22&gt;GP20))</f>
        <v>0</v>
      </c>
      <c r="GZ20" s="75">
        <f ca="1">SUMPRODUCT((GU18:GU22=GU20)*(GL18:GL22=GL20)*(GO18:GO22=GO20)*(GP18:GP22=GP20)*(GQ18:GQ22&gt;GQ20))</f>
        <v>0</v>
      </c>
      <c r="HA20" s="75">
        <f ca="1">SUMPRODUCT((GU18:GU22=GU20)*(GL18:GL22=GL20)*(GO18:GO22=GO20)*(GP18:GP22=GP20)*(GQ18:GQ22=GQ20)*(GR18:GR22&gt;GR20))</f>
        <v>0</v>
      </c>
      <c r="HB20" s="75" t="str">
        <f t="shared" ca="1" si="127"/>
        <v/>
      </c>
      <c r="HC20" s="75" t="str">
        <f ca="1">IF(GF20&lt;&gt;"",INDEX(GF19:GF22,MATCH(3,HB19:HB22,0),0),"")</f>
        <v/>
      </c>
      <c r="HD20" s="75" t="str">
        <f ca="1">IF(FE18&lt;&gt;"",FE18,"")</f>
        <v/>
      </c>
      <c r="HE20" s="75">
        <f ca="1">SUMPRODUCT((JC3:JC42=HD20)*(JF3:JF42=HD21)*(JM3:JM42="W"))+SUMPRODUCT((JC3:JC42=HD20)*(JF3:JF42=HD22)*(JM3:JM42="W"))+SUMPRODUCT((JC3:JC42=HD20)*(JF3:JF42=HD23)*(JM3:JM42="W"))+SUMPRODUCT((JC3:JC42=HD21)*(JF3:JF42=HD20)*(JN3:JN42="W"))+SUMPRODUCT((JC3:JC42=HD22)*(JF3:JF42=HD20)*(JN3:JN42="W"))+SUMPRODUCT((JC3:JC42=HD23)*(JF3:JF42=HD20)*(JN3:JN42="W"))</f>
        <v>0</v>
      </c>
      <c r="HF20" s="75">
        <f ca="1">SUMPRODUCT((JC3:JC42=HD20)*(JF3:JF42=HD21)*(JM3:JM42="D"))+SUMPRODUCT((JC3:JC42=HD20)*(JF3:JF42=HD22)*(JM3:JM42="D"))+SUMPRODUCT((JC3:JC42=HD20)*(JF3:JF42=HD23)*(JM3:JM42="D"))+SUMPRODUCT((JC3:JC42=HD21)*(JF3:JF42=HD20)*(JM3:JM42="D"))+SUMPRODUCT((JC3:JC42=HD22)*(JF3:JF42=HD20)*(JM3:JM42="D"))+SUMPRODUCT((JC3:JC42=HD23)*(JF3:JF42=HD20)*(JM3:JM42="D"))</f>
        <v>0</v>
      </c>
      <c r="HG20" s="75">
        <f ca="1">SUMPRODUCT((JC3:JC42=HD20)*(JF3:JF42=HD21)*(JM3:JM42="L"))+SUMPRODUCT((JC3:JC42=HD20)*(JF3:JF42=HD22)*(JM3:JM42="L"))+SUMPRODUCT((JC3:JC42=HD20)*(JF3:JF42=HD23)*(JM3:JM42="L"))+SUMPRODUCT((JC3:JC42=HD21)*(JF3:JF42=HD20)*(JN3:JN42="L"))+SUMPRODUCT((JC3:JC42=HD22)*(JF3:JF42=HD20)*(JN3:JN42="L"))+SUMPRODUCT((JC3:JC42=HD23)*(JF3:JF42=HD20)*(JN3:JN42="L"))</f>
        <v>0</v>
      </c>
      <c r="HH20" s="75">
        <f ca="1">IF(HD20&lt;&gt;"",VLOOKUP(HD20,EI4:EM29,5,FALSE),0)</f>
        <v>0</v>
      </c>
      <c r="HI20" s="75">
        <f ca="1">IF(HD20&lt;&gt;"",VLOOKUP(HD20,EI4:EN29,6,FALSE),0)</f>
        <v>0</v>
      </c>
      <c r="HJ20" s="75">
        <f ca="1">HH20-HI20+1000</f>
        <v>1000</v>
      </c>
      <c r="HK20" s="75">
        <f ca="1">IF(HD20&lt;&gt;"",VLOOKUP(HD20,EI4:EP29,8,FALSE),0)</f>
        <v>0</v>
      </c>
      <c r="HL20" s="75">
        <f ca="1">IF(HD20&lt;&gt;"",VLOOKUP(HD20,EI4:EQ29,9,FALSE),0)</f>
        <v>0</v>
      </c>
      <c r="HM20" s="75">
        <f ca="1">HK20-HL20+1000</f>
        <v>1000</v>
      </c>
      <c r="HN20" s="75" t="str">
        <f ca="1">IF(HD20&lt;&gt;"",VLOOKUP(HD20,EI18:EM22,5,FALSE),"")</f>
        <v/>
      </c>
      <c r="HO20" s="75" t="str">
        <f ca="1">IF(HD20&lt;&gt;"",VLOOKUP(HD20,EI18:EP22,8,FALSE),"")</f>
        <v/>
      </c>
      <c r="HP20" s="75" t="str">
        <f ca="1">IF(HD20&lt;&gt;"",VLOOKUP(HD20,EI18:EW22,15,FALSE),"")</f>
        <v/>
      </c>
      <c r="HQ20" s="75">
        <f ca="1">SUMPRODUCT((JC3:JC42=HD20)*(JF3:JF42=HD21)*JI3:JI42)+SUMPRODUCT((JC3:JC42=HD20)*(JF3:JF42=HD22)*JI3:JI42)+SUMPRODUCT((JC3:JC42=HD20)*(JF3:JF42=HD23)*JI3:JI42)+SUMPRODUCT((JC3:JC42=HD21)*(JF3:JF42=HD20)*JJ3:JJ42)+SUMPRODUCT((JC3:JC42=HD22)*(JF3:JF42=HD20)*JJ3:JJ42)+SUMPRODUCT((JC3:JC42=HD23)*(JF3:JF42=HD20)*JJ3:JJ42)</f>
        <v>0</v>
      </c>
      <c r="HR20" s="75">
        <f ca="1">SUMPRODUCT((JC3:JC42=HD20)*(JF3:JF42=HD21)*JK3:JK42)+SUMPRODUCT((JC3:JC42=HD20)*(JF3:JF42=HD22)*JK3:JK42)+SUMPRODUCT((JC3:JC42=HD20)*(JF3:JF42=HD23)*JK3:JK42)+SUMPRODUCT((JC3:JC42=HD21)*(JF3:JF42=HD20)*JL3:JL42)+SUMPRODUCT((JC3:JC42=HD22)*(JF3:JF42=HD20)*JL3:JL42)+SUMPRODUCT((JC3:JC42=HD23)*(JF3:JF42=HD20)*JL3:JL42)</f>
        <v>0</v>
      </c>
      <c r="HS20" s="75">
        <f ca="1">HE20*4+HF20*2+HQ20+HR20</f>
        <v>0</v>
      </c>
      <c r="HT20" s="75" t="str">
        <f ca="1">IF(HD20&lt;&gt;"",RANK(HS20,HS20:HS23),"")</f>
        <v/>
      </c>
      <c r="HU20" s="75">
        <f ca="1">SUMPRODUCT((HS20:HS23=HS20)*(HJ20:HJ23&gt;HJ20))</f>
        <v>0</v>
      </c>
      <c r="HV20" s="75">
        <f ca="1">SUMPRODUCT((HS20:HS23=HS20)*(HJ20:HJ23=HJ20)*(HM20:HM23&gt;HM20))</f>
        <v>0</v>
      </c>
      <c r="HW20" s="75">
        <f ca="1">SUMPRODUCT((HS18:HS22=HS20)*(HJ18:HJ22=HJ20)*(HM18:HM22=HM20)*(HN18:HN22&gt;HN20))</f>
        <v>0</v>
      </c>
      <c r="HX20" s="75">
        <f ca="1">SUMPRODUCT((HS18:HS22=HS20)*(HJ18:HJ22=HJ20)*(HM18:HM22=HM20)*(HN18:HN22=HN20)*(HO18:HO22&gt;HO20))</f>
        <v>0</v>
      </c>
      <c r="HY20" s="75">
        <f ca="1">SUMPRODUCT((HS18:HS22=HS20)*(HJ18:HJ22=HJ20)*(HM18:HM22=HM20)*(HN18:HN22=HN20)*(HO18:HO22=HO20)*(HP18:HP22&gt;HP20))</f>
        <v>0</v>
      </c>
      <c r="HZ20" s="75" t="str">
        <f t="shared" ref="HZ20:HZ22" ca="1" si="131">IF(HD20&lt;&gt;"",SUM(HT20:HY20)+2,"")</f>
        <v/>
      </c>
      <c r="IA20" s="75" t="str">
        <f ca="1">IF(HD20&lt;&gt;"",INDEX(HD20:HD22,MATCH(3,HZ20:HZ22,0),0),"")</f>
        <v/>
      </c>
      <c r="IZ20" s="75" t="str">
        <f ca="1">IF(IA20&lt;&gt;"",IA20,IF(HC20&lt;&gt;"",HC20,IF(GE20&lt;&gt;"",GE20,FA20)))</f>
        <v>Tonga</v>
      </c>
      <c r="JA20" s="75">
        <v>3</v>
      </c>
      <c r="JB20" s="75">
        <v>18</v>
      </c>
      <c r="JC20" s="75" t="str">
        <f t="shared" si="4"/>
        <v>Scotland</v>
      </c>
      <c r="JD20" s="75" t="str">
        <f ca="1">IF(OFFSET('Prediction Sheet'!$W30,0,JD$1)&lt;&gt;"",OFFSET('Prediction Sheet'!$W30,0,JD$1),"")</f>
        <v/>
      </c>
      <c r="JE20" s="75" t="str">
        <f ca="1">IF(OFFSET('Prediction Sheet'!$Y30,0,JD$1)&lt;&gt;"",OFFSET('Prediction Sheet'!$Y30,0,JD$1),"")</f>
        <v/>
      </c>
      <c r="JF20" s="75" t="str">
        <f t="shared" si="5"/>
        <v>USA</v>
      </c>
      <c r="JG20" s="75" t="str">
        <f ca="1">IF(OFFSET('Prediction Sheet'!$AA30,0,JF$1)&lt;&gt;"",OFFSET('Prediction Sheet'!$AA30,0,JF$1),"")</f>
        <v/>
      </c>
      <c r="JH20" s="75" t="str">
        <f ca="1">IF(OFFSET('Prediction Sheet'!$AC30,0,JG$1)&lt;&gt;"",OFFSET('Prediction Sheet'!$AC30,0,JG$1),"")</f>
        <v/>
      </c>
      <c r="JI20" s="75">
        <f t="shared" ca="1" si="6"/>
        <v>0</v>
      </c>
      <c r="JJ20" s="75">
        <f t="shared" ca="1" si="7"/>
        <v>0</v>
      </c>
      <c r="JK20" s="75">
        <f t="shared" ca="1" si="8"/>
        <v>0</v>
      </c>
      <c r="JL20" s="75">
        <f t="shared" ca="1" si="9"/>
        <v>0</v>
      </c>
      <c r="JM20" s="75" t="str">
        <f t="shared" ca="1" si="10"/>
        <v/>
      </c>
      <c r="JN20" s="75" t="str">
        <f t="shared" ca="1" si="11"/>
        <v/>
      </c>
    </row>
    <row r="21" spans="1:274" x14ac:dyDescent="0.2">
      <c r="A21" s="75">
        <f>VLOOKUP(B21,DS18:DT22,2,FALSE)</f>
        <v>2</v>
      </c>
      <c r="B21" s="75" t="s">
        <v>35</v>
      </c>
      <c r="C21" s="75">
        <f t="shared" si="94"/>
        <v>0</v>
      </c>
      <c r="D21" s="75">
        <f t="shared" si="95"/>
        <v>0</v>
      </c>
      <c r="E21" s="75">
        <f t="shared" si="96"/>
        <v>0</v>
      </c>
      <c r="F21" s="75">
        <f>SUMIF($DV$3:$DV$60,B21,$DW$3:$DW$60)+SUMIF($DY$3:$DY$60,B21,$DX$3:$DX$60)</f>
        <v>0</v>
      </c>
      <c r="G21" s="75">
        <f>SUMIF($DY$3:$DY$60,B21,$DW$3:$DW$60)+SUMIF($DV$3:$DV$60,B21,$DX$3:$DX$60)</f>
        <v>0</v>
      </c>
      <c r="H21" s="75">
        <f t="shared" si="97"/>
        <v>1000</v>
      </c>
      <c r="I21" s="75">
        <f>SUMIF(Tournament!$H$13:$H$52,B21,Tournament!$O$13:$O$52)+SUMIF(Tournament!$N$13:$N$52,B21,Tournament!$Q$13:$Q$52)</f>
        <v>0</v>
      </c>
      <c r="J21" s="75">
        <f>SUMIF(Tournament!$N$13:$N$52,B21,Tournament!$O$13:$O$52)+SUMIF(Tournament!$H$13:$H$52,B21,Tournament!$Q$13:$Q$52)</f>
        <v>0</v>
      </c>
      <c r="K21" s="75">
        <f t="shared" si="98"/>
        <v>1000</v>
      </c>
      <c r="L21" s="75">
        <f t="shared" si="99"/>
        <v>0</v>
      </c>
      <c r="M21" s="75">
        <f>SUMIF(DV:DV,B21,EB:EB)+SUMIF(DY:DY,B21,EC:EC)</f>
        <v>4</v>
      </c>
      <c r="N21" s="75">
        <f>SUMIF(DV:DV,B21,ED:ED)+SUMIF(DY:DY,B21,EE:EE)</f>
        <v>0</v>
      </c>
      <c r="O21" s="75">
        <f t="shared" si="100"/>
        <v>4</v>
      </c>
      <c r="P21" s="75">
        <v>13</v>
      </c>
      <c r="Q21" s="75">
        <f t="shared" si="111"/>
        <v>1</v>
      </c>
      <c r="S21" s="75">
        <f>RANK(O21,$O$18:$O$22)+COUNTIF($O$18:O21,O21)-1</f>
        <v>4</v>
      </c>
      <c r="T21" s="75" t="str">
        <f>INDEX($B$18:$B$22,MATCH(4,$S$18:$S$22,0),0)</f>
        <v>Georgia</v>
      </c>
      <c r="U21" s="75">
        <f t="shared" si="112"/>
        <v>1</v>
      </c>
      <c r="V21" s="75" t="str">
        <f>IF(AND(V20&lt;&gt;"",U21=1),T21,"")</f>
        <v>Georgia</v>
      </c>
      <c r="W21" s="75" t="str">
        <f>IF(AND(W20&lt;&gt;"",U22=2),T22,"")</f>
        <v/>
      </c>
      <c r="AA21" s="75" t="str">
        <f t="shared" si="113"/>
        <v>Georgia</v>
      </c>
      <c r="AB21" s="75">
        <f>SUMPRODUCT((DV3:DV42=AA21)*(DY3:DY42=AA22)*(EF3:EF42="W"))+SUMPRODUCT((DV3:DV42=AA21)*(DY3:DY42=AA18)*(EF3:EF42="W"))+SUMPRODUCT((DV3:DV42=AA21)*(DY3:DY42=AA19)*(EF3:EF42="W"))+SUMPRODUCT((DV3:DV42=AA21)*(DY3:DY42=AA20)*(EF3:EF42="W"))+SUMPRODUCT((DV3:DV42=AA22)*(DY3:DY42=AA21)*(EG3:EG42="W"))+SUMPRODUCT((DV3:DV42=AA18)*(DY3:DY42=AA21)*(EG3:EG42="W"))+SUMPRODUCT((DV3:DV42=AA19)*(DY3:DY42=AA21)*(EG3:EG42="W"))+SUMPRODUCT((DV3:DV42=AA20)*(DY3:DY42=AA21)*(EG3:EG42="W"))</f>
        <v>0</v>
      </c>
      <c r="AC21" s="75">
        <f>SUMPRODUCT((DV3:DV42=AA21)*(DY3:DY42=AA22)*(EF3:EF42="D"))+SUMPRODUCT((DV3:DV42=AA21)*(DY3:DY42=AA18)*(EF3:EF42="D"))+SUMPRODUCT((DV3:DV42=AA21)*(DY3:DY42=AA19)*(EF3:EF42="D"))+SUMPRODUCT((DV3:DV42=AA21)*(DY3:DY42=AA20)*(EF3:EF42="D"))+SUMPRODUCT((DV3:DV42=AA22)*(DY3:DY42=AA21)*(EF3:EF42="D"))+SUMPRODUCT((DV3:DV42=AA18)*(DY3:DY42=AA21)*(EF3:EF42="D"))+SUMPRODUCT((DV3:DV42=AA19)*(DY3:DY42=AA21)*(EF3:EF42="D"))+SUMPRODUCT((DV3:DV42=AA20)*(DY3:DY42=AA21)*(EF3:EF42="D"))</f>
        <v>0</v>
      </c>
      <c r="AD21" s="75">
        <f>SUMPRODUCT((DV3:DV42=AA21)*(DY3:DY42=AA22)*(EF3:EF42="L"))+SUMPRODUCT((DV3:DV42=AA21)*(DY3:DY42=AA18)*(EF3:EF42="L"))+SUMPRODUCT((DV3:DV42=AA21)*(DY3:DY42=AA19)*(EF3:EF42="L"))+SUMPRODUCT((DV3:DV42=AA21)*(DY3:DY42=AA20)*(EF3:EF42="L"))+SUMPRODUCT((DV3:DV42=AA22)*(DY3:DY42=AA21)*(EG3:EG42="L"))+SUMPRODUCT((DV3:DV42=AA18)*(DY3:DY42=AA21)*(EG3:EG42="L"))+SUMPRODUCT((DV3:DV42=AA19)*(DY3:DY42=AA21)*(EG3:EG42="L"))+SUMPRODUCT((DV3:DV42=AA20)*(DY3:DY42=AA21)*(EG3:EG42="L"))</f>
        <v>0</v>
      </c>
      <c r="AE21" s="75">
        <f>IF(AA21&lt;&gt;"",VLOOKUP(AA21,B4:F29,5,FALSE),0)</f>
        <v>0</v>
      </c>
      <c r="AF21" s="75">
        <f>IF(AA21&lt;&gt;"",VLOOKUP(AA21,B4:G29,6,FALSE),0)</f>
        <v>0</v>
      </c>
      <c r="AG21" s="75">
        <f>AE21-AF21+1000</f>
        <v>1000</v>
      </c>
      <c r="AH21" s="75">
        <f>IF(AA21&lt;&gt;"",VLOOKUP(AA21,B4:I29,8,FALSE),0)</f>
        <v>0</v>
      </c>
      <c r="AI21" s="75">
        <f>IF(AA21&lt;&gt;"",VLOOKUP(AA21,B4:J29,9,FALSE),0)</f>
        <v>0</v>
      </c>
      <c r="AJ21" s="75">
        <f>IF(AA21&lt;&gt;"",AH21-AI21+1000,"")</f>
        <v>1000</v>
      </c>
      <c r="AK21" s="75">
        <f>IF(AA21&lt;&gt;"",VLOOKUP(AA21,B18:F22,5,FALSE),"")</f>
        <v>0</v>
      </c>
      <c r="AL21" s="75">
        <f>IF(AA21&lt;&gt;"",VLOOKUP(AA21,B18:I22,8,FALSE),"")</f>
        <v>0</v>
      </c>
      <c r="AM21" s="75">
        <f>IF(AA21&lt;&gt;"",VLOOKUP(AA21,B18:P22,15,FALSE),"")</f>
        <v>13</v>
      </c>
      <c r="AN21" s="75">
        <f>SUMPRODUCT((DV3:DV42=AA21)*(DY3:DY42=AA22)*EB3:EB42)+SUMPRODUCT((DV3:DV42=AA21)*(DY3:DY42=AA18)*EB3:EB42)+SUMPRODUCT((DV3:DV42=AA21)*(DY3:DY42=AA19)*EB3:EB42)+SUMPRODUCT((DV3:DV42=AA21)*(DY3:DY42=AA20)*EB3:EB42)+SUMPRODUCT((DV3:DV42=AA22)*(DY3:DY42=AA21)*EC3:EC42)+SUMPRODUCT((DV3:DV42=AA18)*(DY3:DY42=AA21)*EC3:EC42)+SUMPRODUCT((DV3:DV42=AA19)*(DY3:DY42=AA21)*EC3:EC42)+SUMPRODUCT((DV3:DV42=AA20)*(DY3:DY42=AA21)*EC3:EC42)</f>
        <v>4</v>
      </c>
      <c r="AO21" s="75">
        <f>SUMPRODUCT((DV3:DV42=AA21)*(DY3:DY42=AA22)*ED3:ED42)+SUMPRODUCT((DV3:DV42=AA21)*(DY3:DY42=AA18)*ED3:ED42)+SUMPRODUCT((DV3:DV42=AA21)*(DY3:DY42=AA19)*ED3:ED42)+SUMPRODUCT((DV3:DV42=AA21)*(DY3:DY42=AA20)*ED3:ED42)+SUMPRODUCT((DV3:DV42=AA22)*(DY3:DY42=AA21)*EE3:EE42)+SUMPRODUCT((DV3:DV42=AA18)*(DY3:DY42=AA21)*EE3:EE42)+SUMPRODUCT((DV3:DV42=AA19)*(DY3:DY42=AA21)*EE3:EE42)+SUMPRODUCT((DV3:DV42=AA20)*(DY3:DY42=AA21)*EE3:EE42)</f>
        <v>0</v>
      </c>
      <c r="AP21" s="75">
        <f>IF(AA21&lt;&gt;"",AB21*4+AC21*2+AN21+AO21,"")</f>
        <v>4</v>
      </c>
      <c r="AQ21" s="75">
        <f>IF(AA21&lt;&gt;"",RANK(AP21,AP18:AP22),"")</f>
        <v>1</v>
      </c>
      <c r="AR21" s="75">
        <f>SUMPRODUCT((AP18:AP22=AP21)*(AG18:AG22&gt;AG21))</f>
        <v>0</v>
      </c>
      <c r="AS21" s="75">
        <f>SUMPRODUCT((AP18:AP22=AP21)*(AG18:AG22=AG21)*(AJ18:AJ22&gt;AJ21))</f>
        <v>0</v>
      </c>
      <c r="AT21" s="75">
        <f>SUMPRODUCT((AP18:AP22=AP21)*(AG18:AG22=AG21)*(AJ18:AJ22=AJ21)*(AK18:AK22&gt;AK21))</f>
        <v>0</v>
      </c>
      <c r="AU21" s="75">
        <f>SUMPRODUCT((AP18:AP22=AP21)*(AG18:AG22=AG21)*(AJ18:AJ22=AJ21)*(AK18:AK22=AK21)*(AL18:AL22&gt;AL21))</f>
        <v>0</v>
      </c>
      <c r="AV21" s="75">
        <f>SUMPRODUCT((AP18:AP22=AP21)*(AG18:AG22=AG21)*(AJ18:AJ22=AJ21)*(AK18:AK22=AK21)*(AL18:AL22=AL21)*(AM18:AM22&gt;AM21))</f>
        <v>1</v>
      </c>
      <c r="AW21" s="75">
        <f t="shared" si="116"/>
        <v>2</v>
      </c>
      <c r="AX21" s="75" t="str">
        <f>IF(AA21&lt;&gt;"",INDEX(AA18:AA22,MATCH(4,AW18:AW22,0),0),"")</f>
        <v>Argentina</v>
      </c>
      <c r="AY21" s="75" t="str">
        <f>IF(W20&lt;&gt;"",W20,"")</f>
        <v/>
      </c>
      <c r="AZ21" s="75" t="str">
        <f>IF(AY21&lt;&gt;"",SUMPRODUCT((DV3:DV42=AY21)*(DY3:DY42=AY22)*(EF3:EF42="W"))+SUMPRODUCT((DV3:DV42=AY21)*(DY3:DY42=AY19)*(EF3:EF42="W"))+SUMPRODUCT((DV3:DV42=AY21)*(DY3:DY42=AY20)*(EF3:EF42="W"))+SUMPRODUCT((DV3:DV42=AY22)*(DY3:DY42=AY21)*(EG3:EG42="W"))+SUMPRODUCT((DV3:DV42=AY19)*(DY3:DY42=AY21)*(EG3:EG42="W"))+SUMPRODUCT((DV3:DV42=AY20)*(DY3:DY42=AY21)*(EG3:EG42="W")),"")</f>
        <v/>
      </c>
      <c r="BA21" s="75" t="str">
        <f>IF(AY21&lt;&gt;"",SUMPRODUCT((DV3:DV42=AY21)*(DY3:DY42=AY22)*(EF3:EF42="D"))+SUMPRODUCT((DV3:DV42=AY21)*(DY3:DY42=AY19)*(EF3:EF42="D"))+SUMPRODUCT((DV3:DV42=AY21)*(DY3:DY42=AY20)*(EF3:EF42="D"))+SUMPRODUCT((DV3:DV42=AY22)*(DY3:DY42=AY21)*(EF3:EF42="D"))+SUMPRODUCT((DV3:DV42=AY19)*(DY3:DY42=AY21)*(EF3:EF42="D"))+SUMPRODUCT((DV3:DV42=AY20)*(DY3:DY42=AY21)*(EF3:EF42="D")),"")</f>
        <v/>
      </c>
      <c r="BB21" s="75" t="str">
        <f>IF(AY21&lt;&gt;"",SUMPRODUCT((DV3:DV42=AY21)*(DY3:DY42=AY22)*(EF3:EF42="L"))+SUMPRODUCT((DV3:DV42=AY21)*(DY3:DY42=AY19)*(EF3:EF42="L"))+SUMPRODUCT((DV3:DV42=AY21)*(DY3:DY42=AY20)*(EF3:EF42="L"))+SUMPRODUCT((DV3:DV42=AY22)*(DY3:DY42=AY21)*(EG3:EG42="L"))+SUMPRODUCT((DV3:DV42=AY19)*(DY3:DY42=AY21)*(EG3:EG42="L"))+SUMPRODUCT((DV3:DV42=AY20)*(DY3:DY42=AY21)*(EG3:EG42="L")),"")</f>
        <v/>
      </c>
      <c r="BC21" s="75">
        <f>IF(AY21&lt;&gt;"",VLOOKUP(AY21,B4:F29,5,FALSE),0)</f>
        <v>0</v>
      </c>
      <c r="BD21" s="75">
        <f>IF(AY21&lt;&gt;"",VLOOKUP(AY21,B4:G29,6,FALSE),0)</f>
        <v>0</v>
      </c>
      <c r="BE21" s="75">
        <f>BC21-BD21+1000</f>
        <v>1000</v>
      </c>
      <c r="BF21" s="75">
        <f>IF(AY21&lt;&gt;"",VLOOKUP(AY21,B4:I29,8,FALSE),0)</f>
        <v>0</v>
      </c>
      <c r="BG21" s="75">
        <f>IF(AY21&lt;&gt;"",VLOOKUP(AY21,B4:J29,9,FALSE),0)</f>
        <v>0</v>
      </c>
      <c r="BH21" s="75" t="str">
        <f>IF(AY21&lt;&gt;"",BF21-BG21+1000,"")</f>
        <v/>
      </c>
      <c r="BI21" s="75" t="str">
        <f>IF(AY21&lt;&gt;"",VLOOKUP(AY21,B18:F22,5,FALSE),"")</f>
        <v/>
      </c>
      <c r="BJ21" s="75" t="str">
        <f>IF(AY21&lt;&gt;"",VLOOKUP(AY21,B18:I22,8,FALSE),"")</f>
        <v/>
      </c>
      <c r="BK21" s="75" t="str">
        <f>IF(AY21&lt;&gt;"",VLOOKUP(AY21,B18:P22,15,FALSE),"")</f>
        <v/>
      </c>
      <c r="BL21" s="75" t="str">
        <f>IF(AY21&lt;&gt;"",SUMPRODUCT((DV3:DV42=AY21)*(DY3:DY42=AY22)*EB3:EB42)+SUMPRODUCT((DV3:DV42=AY21)*(DY3:DY42=AY19)*EB3:EB42)+SUMPRODUCT((DV3:DV42=AY21)*(DY3:DY42=AY20)*EB3:EB42)+SUMPRODUCT((DV3:DV42=AY22)*(DY3:DY42=AY21)*EC3:EC42)+SUMPRODUCT((DV3:DV42=AY19)*(DY3:DY42=AY21)*EC3:EC42)+SUMPRODUCT((DV3:DV42=AY20)*(DY3:DY42=AY21)*EC3:EC42),"")</f>
        <v/>
      </c>
      <c r="BM21" s="75" t="str">
        <f>IF(AY21&lt;&gt;"",SUMPRODUCT((DV3:DV42=AY21)*(DY3:DY42=AY22)*ED3:ED42)+SUMPRODUCT((DV3:DV42=AY21)*(DY3:DY42=AY19)*ED3:ED42)+SUMPRODUCT((DV3:DV42=AY21)*(DY3:DY42=AY20)*ED3:ED42)+SUMPRODUCT((DV3:DV42=AY22)*(DY3:DY42=AY21)*EE3:EE42)+SUMPRODUCT((DV3:DV42=AY19)*(DY3:DY42=AY21)*EE3:EE42)+SUMPRODUCT((DV3:DV42=AY20)*(DY3:DY42=AY21)*EE3:EE42),"")</f>
        <v/>
      </c>
      <c r="BN21" s="75" t="str">
        <f>IF(AY21&lt;&gt;"",AZ21*4+BA21*2+BL21+BM21,"")</f>
        <v/>
      </c>
      <c r="BO21" s="75" t="str">
        <f>IF(AY21&lt;&gt;"",RANK(BN21,BN19:BN22),"")</f>
        <v/>
      </c>
      <c r="BP21" s="75">
        <f>SUMPRODUCT((BN19:BN22=BN21)*(BE19:BE22&gt;BE21))</f>
        <v>0</v>
      </c>
      <c r="BQ21" s="75">
        <f>SUMPRODUCT((BN19:BN22=BN21)*(BE19:BE22=BE21)*(BH19:BH22&gt;BH21))</f>
        <v>0</v>
      </c>
      <c r="BR21" s="75">
        <f>SUMPRODUCT((BN18:BN22=BN21)*(BE18:BE22=BE21)*(BH18:BH22=BH21)*(BI18:BI22&gt;BI21))</f>
        <v>0</v>
      </c>
      <c r="BS21" s="75">
        <f>SUMPRODUCT((BN18:BN22=BN21)*(BE18:BE22=BE21)*(BH18:BH22=BH21)*(BI18:BI22=BI21)*(BJ18:BJ22&gt;BJ21))</f>
        <v>0</v>
      </c>
      <c r="BT21" s="75">
        <f>SUMPRODUCT((BN18:BN22=BN21)*(BE18:BE22=BE21)*(BH18:BH22=BH21)*(BI18:BI22=BI21)*(BJ18:BJ22=BJ21)*(BK18:BK22&gt;BK21))</f>
        <v>0</v>
      </c>
      <c r="BU21" s="75" t="str">
        <f t="shared" si="117"/>
        <v/>
      </c>
      <c r="BV21" s="75" t="str">
        <f>IF(AY21&lt;&gt;"",INDEX(AY19:AY22,MATCH(4,BU19:BU22,0),0),"")</f>
        <v/>
      </c>
      <c r="BW21" s="75" t="str">
        <f>IF(X19&lt;&gt;"",X19,"")</f>
        <v/>
      </c>
      <c r="BX21" s="75">
        <f>SUMPRODUCT((DV3:DV42=BW21)*(DY3:DY42=BW22)*(EF3:EF42="W"))+SUMPRODUCT((DV3:DV42=BW21)*(DY3:DY42=BW23)*(EF3:EF42="W"))+SUMPRODUCT((DV3:DV42=BW21)*(DY3:DY42=BW20)*(EF3:EF42="W"))+SUMPRODUCT((DV3:DV42=BW22)*(DY3:DY42=BW21)*(EG3:EG42="W"))+SUMPRODUCT((DV3:DV42=BW23)*(DY3:DY42=BW21)*(EG3:EG42="W"))+SUMPRODUCT((DV3:DV42=BW20)*(DY3:DY42=BW21)*(EG3:EG42="W"))</f>
        <v>0</v>
      </c>
      <c r="BY21" s="75">
        <f>SUMPRODUCT((DV3:DV42=BW21)*(DY3:DY42=BW22)*(EF3:EF42="D"))+SUMPRODUCT((DV3:DV42=BW21)*(DY3:DY42=BW23)*(EF3:EF42="D"))+SUMPRODUCT((DV3:DV42=BW21)*(DY3:DY42=BW20)*(EF3:EF42="D"))+SUMPRODUCT((DV3:DV42=BW22)*(DY3:DY42=BW21)*(EF3:EF42="D"))+SUMPRODUCT((DV3:DV42=BW23)*(DY3:DY42=BW21)*(EF3:EF42="D"))+SUMPRODUCT((DV3:DV42=BW20)*(DY3:DY42=BW21)*(EF3:EF42="D"))</f>
        <v>0</v>
      </c>
      <c r="BZ21" s="75">
        <f>SUMPRODUCT((DV3:DV42=BW21)*(DY3:DY42=BW22)*(EF3:EF42="L"))+SUMPRODUCT((DV3:DV42=BW21)*(DY3:DY42=BW23)*(EF3:EF42="L"))+SUMPRODUCT((DV3:DV42=BW21)*(DY3:DY42=BW20)*(EF3:EF42="L"))+SUMPRODUCT((DV3:DV42=BW22)*(DY3:DY42=BW21)*(EG3:EG42="L"))+SUMPRODUCT((DV3:DV42=BW23)*(DY3:DY42=BW21)*(EG3:EG42="L"))+SUMPRODUCT((DV3:DV42=BW20)*(DY3:DY42=BW21)*(EG3:EG42="L"))</f>
        <v>0</v>
      </c>
      <c r="CA21" s="75">
        <f>IF(BW21&lt;&gt;"",VLOOKUP(BW21,B4:F29,5,FALSE),0)</f>
        <v>0</v>
      </c>
      <c r="CB21" s="75">
        <f>IF(BW21&lt;&gt;"",VLOOKUP(BW21,B4:G29,6,FALSE),0)</f>
        <v>0</v>
      </c>
      <c r="CC21" s="75">
        <f>CA21-CB21+1000</f>
        <v>1000</v>
      </c>
      <c r="CD21" s="75">
        <f>IF(BW21&lt;&gt;"",VLOOKUP(BW21,B4:I29,8,FALSE),0)</f>
        <v>0</v>
      </c>
      <c r="CE21" s="75">
        <f>IF(BW21&lt;&gt;"",VLOOKUP(BW21,B4:J29,9,FALSE),0)</f>
        <v>0</v>
      </c>
      <c r="CF21" s="75">
        <f t="shared" ref="CF21" si="132">CD21-CE21+1000</f>
        <v>1000</v>
      </c>
      <c r="CG21" s="75" t="str">
        <f>IF(BW21&lt;&gt;"",VLOOKUP(BW21,B18:F22,5,FALSE),"")</f>
        <v/>
      </c>
      <c r="CH21" s="75" t="str">
        <f>IF(BW21&lt;&gt;"",VLOOKUP(BW21,B18:I22,8,FALSE),"")</f>
        <v/>
      </c>
      <c r="CI21" s="75" t="str">
        <f>IF(BW21&lt;&gt;"",VLOOKUP(BW21,B18:P22,15,FALSE),"")</f>
        <v/>
      </c>
      <c r="CJ21" s="75">
        <f>SUMPRODUCT((DV3:DV42=BW21)*(DY3:DY42=BW22)*EB3:EB42)+SUMPRODUCT((DV3:DV42=BW21)*(DY3:DY42=BW23)*EB3:EB42)+SUMPRODUCT((DV3:DV42=BW21)*(DY3:DY42=BW20)*EB3:EB42)+SUMPRODUCT((DV3:DV42=BW22)*(DY3:DY42=BW21)*EC3:EC42)+SUMPRODUCT((DV3:DV42=BW23)*(DY3:DY42=BW21)*EC3:EC42)+SUMPRODUCT((DV3:DV42=BW20)*(DY3:DY42=BW21)*EC3:EC42)</f>
        <v>0</v>
      </c>
      <c r="CK21" s="75">
        <f>SUMPRODUCT((DV3:DV42=BW21)*(DY3:DY42=BW22)*ED3:ED42)+SUMPRODUCT((DV3:DV42=BW21)*(DY3:DY42=BW23)*ED3:ED42)+SUMPRODUCT((DV3:DV42=BW21)*(DY3:DY42=BW20)*ED3:ED42)+SUMPRODUCT((DV3:DV42=BW22)*(DY3:DY42=BW21)*EE3:EE42)+SUMPRODUCT((DV3:DV42=BW23)*(DY3:DY42=BW21)*EE3:EE42)+SUMPRODUCT((DV3:DV42=BW20)*(DY3:DY42=BW21)*EE3:EE42)</f>
        <v>0</v>
      </c>
      <c r="CL21" s="75">
        <f t="shared" ref="CL21" si="133">BX21*4+BY21*2+CJ21+CK21</f>
        <v>0</v>
      </c>
      <c r="CM21" s="75" t="str">
        <f>IF(BW21&lt;&gt;"",RANK(CL21,CL20:CL23),"")</f>
        <v/>
      </c>
      <c r="CN21" s="75">
        <f>SUMPRODUCT((CL20:CL23=CL21)*(CC20:CC23&gt;CC21))</f>
        <v>0</v>
      </c>
      <c r="CO21" s="75">
        <f>SUMPRODUCT((CL20:CL23=CL21)*(CC20:CC23=CC21)*(CF20:CF23&gt;CF21))</f>
        <v>0</v>
      </c>
      <c r="CP21" s="75">
        <f>SUMPRODUCT((CL18:CL22=CL21)*(CC18:CC22=CC21)*(CF18:CF22=CF21)*(CG18:CG22&gt;CG21))</f>
        <v>0</v>
      </c>
      <c r="CQ21" s="75">
        <f>SUMPRODUCT((CL18:CL22=CL21)*(CC18:CC22=CC21)*(CF18:CF22=CF21)*(CG18:CG22=CG21)*(CH18:CH22&gt;CH21))</f>
        <v>0</v>
      </c>
      <c r="CR21" s="75">
        <f>SUMPRODUCT((CL18:CL22=CL21)*(CC18:CC22=CC21)*(CF18:CF22=CF21)*(CG18:CG22=CG21)*(CH18:CH22=CH21)*(CI18:CI22&gt;CI21))</f>
        <v>0</v>
      </c>
      <c r="CS21" s="75" t="str">
        <f t="shared" si="129"/>
        <v/>
      </c>
      <c r="CT21" s="75" t="str">
        <f>IF(BW21&lt;&gt;"",INDEX(BW20:BW22,MATCH(4,CS20:CS22,0),0),"")</f>
        <v/>
      </c>
      <c r="CU21" s="75" t="str">
        <f>IF(Y18&lt;&gt;"",Y18,"")</f>
        <v/>
      </c>
      <c r="CV21" s="75">
        <f>SUMPRODUCT((DV3:DV42=CU21)*(DY3:DY42=CU22)*(EF3:EF42="W"))+SUMPRODUCT((DV3:DV42=CU21)*(DY3:DY42=CU23)*(EF3:EF42="W"))+SUMPRODUCT((DV3:DV42=CU21)*(DY3:DY42=CU24)*(EF3:EF42="W"))+SUMPRODUCT((DV3:DV42=CU22)*(DY3:DY42=CU21)*(EG3:EG42="W"))+SUMPRODUCT((DV3:DV42=CU23)*(DY3:DY42=CU21)*(EG3:EG42="W"))+SUMPRODUCT((DV3:DV42=CU24)*(DY3:DY42=CU21)*(EG3:EG42="W"))</f>
        <v>0</v>
      </c>
      <c r="CW21" s="75">
        <f>SUMPRODUCT((DV3:DV42=CU21)*(DY3:DY42=CU22)*(EF3:EF42="D"))+SUMPRODUCT((DV3:DV42=CU21)*(DY3:DY42=CU23)*(EF3:EF42="D"))+SUMPRODUCT((DV3:DV42=CU21)*(DY3:DY42=CU24)*(EF3:EF42="D"))+SUMPRODUCT((DV3:DV42=CU22)*(DY3:DY42=CU21)*(EF3:EF42="D"))+SUMPRODUCT((DV3:DV42=CU23)*(DY3:DY42=CU21)*(EF3:EF42="D"))+SUMPRODUCT((DV3:DV42=CU24)*(DY3:DY42=CU21)*(EF3:EF42="D"))</f>
        <v>0</v>
      </c>
      <c r="CX21" s="75">
        <f>SUMPRODUCT((DV3:DV42=CU21)*(DY3:DY42=CU22)*(EF3:EF42="L"))+SUMPRODUCT((DV3:DV42=CU21)*(DY3:DY42=CU23)*(EF3:EF42="L"))+SUMPRODUCT((DV3:DV42=CU21)*(DY3:DY42=CU24)*(EF3:EF42="L"))+SUMPRODUCT((DV3:DV42=CU22)*(DY3:DY42=CU21)*(EG3:EG42="L"))+SUMPRODUCT((DV3:DV42=CU23)*(DY3:DY42=CU21)*(EG3:EG42="L"))+SUMPRODUCT((DV3:DV42=CU24)*(DY3:DY42=CU21)*(EG3:EG42="L"))</f>
        <v>0</v>
      </c>
      <c r="CY21" s="75">
        <f>IF(CU21&lt;&gt;"",VLOOKUP(CU21,B4:F29,5,FALSE),0)</f>
        <v>0</v>
      </c>
      <c r="CZ21" s="75">
        <f>IF(CU21&lt;&gt;"",VLOOKUP(CU21,B4:G29,6,FALSE),0)</f>
        <v>0</v>
      </c>
      <c r="DA21" s="75">
        <f>CY21-CZ21+1000</f>
        <v>1000</v>
      </c>
      <c r="DB21" s="75">
        <f>IF(CU21&lt;&gt;"",VLOOKUP(CU21,B4:I29,8,FALSE),0)</f>
        <v>0</v>
      </c>
      <c r="DC21" s="75">
        <f>IF(CU21&lt;&gt;"",VLOOKUP(CU21,B4:J29,9,FALSE),0)</f>
        <v>0</v>
      </c>
      <c r="DD21" s="75">
        <f>DB21-DC21+1000</f>
        <v>1000</v>
      </c>
      <c r="DE21" s="75" t="str">
        <f>IF(CU21&lt;&gt;"",VLOOKUP(CU21,B18:F22,5,FALSE),"")</f>
        <v/>
      </c>
      <c r="DF21" s="75" t="str">
        <f>IF(CU21&lt;&gt;"",VLOOKUP(CU21,B18:I22,8,FALSE),"")</f>
        <v/>
      </c>
      <c r="DG21" s="75" t="str">
        <f>IF(CU21&lt;&gt;"",VLOOKUP(CU21,B18:P22,15,FALSE),"")</f>
        <v/>
      </c>
      <c r="DH21" s="75">
        <f>SUMPRODUCT((DV3:DV42=CU21)*(DY3:DY42=CU22)*EB3:EB42)+SUMPRODUCT((DV3:DV42=CU21)*(DY3:DY42=CU23)*EB3:EB42)+SUMPRODUCT((DV3:DV42=CU21)*(DY3:DY42=CU24)*EB3:EB42)+SUMPRODUCT((DV3:DV42=CU22)*(DY3:DY42=CU21)*EC3:EC42)+SUMPRODUCT((DV3:DV42=CU23)*(DY3:DY42=CU21)*EC3:EC42)+SUMPRODUCT((DV3:DV42=CU24)*(DY3:DY42=CU21)*EC3:EC42)</f>
        <v>0</v>
      </c>
      <c r="DI21" s="75">
        <f>SUMPRODUCT((DV3:DV42=CU21)*(DY3:DY42=CU22)*ED3:ED42)+SUMPRODUCT((DV3:DV42=CU21)*(DY3:DY42=CU23)*ED3:ED42)+SUMPRODUCT((DV3:DV42=CU21)*(DY3:DY42=CU24)*ED3:ED42)+SUMPRODUCT((DV3:DV42=CU22)*(DY3:DY42=CU21)*EE3:EE42)+SUMPRODUCT((DV3:DV42=CU23)*(DY3:DY42=CU21)*EE3:EE42)+SUMPRODUCT((DV3:DV42=CU24)*(DY3:DY42=CU21)*EE3:EE42)</f>
        <v>0</v>
      </c>
      <c r="DJ21" s="75">
        <f>CV21*4+CW21*2+DH21+DI21</f>
        <v>0</v>
      </c>
      <c r="DK21" s="75" t="str">
        <f>IF(CU21&lt;&gt;"",RANK(DJ21,DJ21:DJ24),"")</f>
        <v/>
      </c>
      <c r="DL21" s="75">
        <f>SUMPRODUCT((DJ21:DJ24=DJ21)*(DA21:DA24&gt;DA21))</f>
        <v>0</v>
      </c>
      <c r="DM21" s="75">
        <f>SUMPRODUCT((DJ21:DJ24=DJ21)*(DA21:DA24=DA21)*(DD21:DD24&gt;DD21))</f>
        <v>0</v>
      </c>
      <c r="DN21" s="75">
        <f>SUMPRODUCT((DJ18:DJ22=DJ21)*(DA18:DA22=DA21)*(DD18:DD22=DD21)*(DE18:DE22&gt;DE21))</f>
        <v>0</v>
      </c>
      <c r="DO21" s="75">
        <f>SUMPRODUCT((DJ18:DJ22=DJ21)*(DA18:DA22=DA21)*(DD18:DD22=DD21)*(DE18:DE22=DE21)*(DF18:DF22&gt;DF21))</f>
        <v>0</v>
      </c>
      <c r="DP21" s="75">
        <f>SUMPRODUCT((DJ18:DJ22=DJ21)*(DA18:DA22=DA21)*(DD18:DD22=DD21)*(DE18:DE22=DE21)*(DF18:DF22=DF21)*(DG18:DG22&gt;DG21))</f>
        <v>0</v>
      </c>
      <c r="DQ21" s="75" t="str">
        <f t="shared" ref="DQ21:DQ22" si="134">IF(CU21&lt;&gt;"",SUM(DK21:DP21)+3,"")</f>
        <v/>
      </c>
      <c r="DR21" s="75" t="str">
        <f>IF(CU21&lt;&gt;"",IF(DQ21=4,CU21,CU22),"")</f>
        <v/>
      </c>
      <c r="DS21" s="75" t="str">
        <f>IF(DR21&lt;&gt;"",DR21,IF(CT21&lt;&gt;"",CT21,IF(BV21&lt;&gt;"",BV21,IF(AX21&lt;&gt;"",AX21,T21))))</f>
        <v>Argentina</v>
      </c>
      <c r="DT21" s="75">
        <v>4</v>
      </c>
      <c r="DU21" s="75">
        <v>19</v>
      </c>
      <c r="DV21" s="75" t="str">
        <f>Tournament!H31</f>
        <v>Ireland</v>
      </c>
      <c r="DW21" s="75">
        <f>IF(AND(Tournament!J31&lt;&gt;"",Tournament!L31&lt;&gt;""),Tournament!J31,0)</f>
        <v>0</v>
      </c>
      <c r="DX21" s="75">
        <f>IF(AND(Tournament!L31&lt;&gt;"",Tournament!J31&lt;&gt;""),Tournament!L31,0)</f>
        <v>0</v>
      </c>
      <c r="DY21" s="75" t="str">
        <f>Tournament!N31</f>
        <v>Romania</v>
      </c>
      <c r="DZ21" s="75">
        <f>IF(Tournament!O31&lt;&gt;"",Tournament!O31,0)</f>
        <v>0</v>
      </c>
      <c r="EA21" s="75">
        <f>IF(Tournament!Q31&lt;&gt;"",Tournament!Q31,0)</f>
        <v>0</v>
      </c>
      <c r="EB21" s="75">
        <f>IF(DW21&lt;&gt;"",IF(Tournament!O31&gt;3,1,0),0)</f>
        <v>1</v>
      </c>
      <c r="EC21" s="75">
        <f>IF(DX21&lt;&gt;"",IF(Tournament!Q31&gt;3,1,0),0)</f>
        <v>1</v>
      </c>
      <c r="ED21" s="75">
        <f t="shared" si="1"/>
        <v>0</v>
      </c>
      <c r="EE21" s="75">
        <f t="shared" si="2"/>
        <v>0</v>
      </c>
      <c r="EF21" s="75" t="str">
        <f>IF(AND(Tournament!J31&lt;&gt;"",Tournament!L31&lt;&gt;""),IF(DW21&gt;DX21,"W",IF(DW21=DX21,"D","L")),"")</f>
        <v/>
      </c>
      <c r="EG21" s="75" t="str">
        <f t="shared" si="3"/>
        <v/>
      </c>
      <c r="EH21" s="75">
        <f ca="1">VLOOKUP(EI21,IZ18:JA22,2,FALSE)</f>
        <v>2</v>
      </c>
      <c r="EI21" s="75" t="s">
        <v>35</v>
      </c>
      <c r="EJ21" s="75">
        <f t="shared" ca="1" si="102"/>
        <v>0</v>
      </c>
      <c r="EK21" s="75">
        <f t="shared" ca="1" si="103"/>
        <v>0</v>
      </c>
      <c r="EL21" s="75">
        <f t="shared" ca="1" si="104"/>
        <v>0</v>
      </c>
      <c r="EM21" s="75">
        <f t="shared" ca="1" si="105"/>
        <v>0</v>
      </c>
      <c r="EN21" s="75">
        <f t="shared" ca="1" si="118"/>
        <v>0</v>
      </c>
      <c r="EO21" s="75">
        <f t="shared" ca="1" si="106"/>
        <v>1000</v>
      </c>
      <c r="EP21" s="75">
        <f t="shared" ca="1" si="119"/>
        <v>0</v>
      </c>
      <c r="EQ21" s="75">
        <f t="shared" ca="1" si="120"/>
        <v>0</v>
      </c>
      <c r="ER21" s="75">
        <f t="shared" ca="1" si="107"/>
        <v>1000</v>
      </c>
      <c r="ES21" s="75">
        <f t="shared" ca="1" si="108"/>
        <v>0</v>
      </c>
      <c r="ET21" s="75">
        <f ca="1">SUMIF(JC:JC,EI21,JI:JI)+SUMIF(JF:JF,EI21,JJ:JJ)</f>
        <v>0</v>
      </c>
      <c r="EU21" s="75">
        <f ca="1">SUMIF(JC:JC,EI21,JK:JK)+SUMIF(JF:JF,EI21,JL:JL)</f>
        <v>0</v>
      </c>
      <c r="EV21" s="75">
        <f t="shared" ca="1" si="109"/>
        <v>0</v>
      </c>
      <c r="EW21" s="75">
        <v>13</v>
      </c>
      <c r="EX21" s="75">
        <f t="shared" ca="1" si="121"/>
        <v>1</v>
      </c>
      <c r="EZ21" s="75">
        <f ca="1">RANK(EV21,EV$18:EV$22)+COUNTIF(EV$18:EV21,EV21)-1</f>
        <v>4</v>
      </c>
      <c r="FA21" s="75" t="str">
        <f ca="1">INDEX(EI$18:EI$22,MATCH(4,EZ$18:EZ$22,0),0)</f>
        <v>Georgia</v>
      </c>
      <c r="FB21" s="75">
        <f t="shared" ca="1" si="122"/>
        <v>1</v>
      </c>
      <c r="FC21" s="75" t="str">
        <f ca="1">IF(AND(FC20&lt;&gt;"",FB21=1),FA21,"")</f>
        <v>Georgia</v>
      </c>
      <c r="FD21" s="75" t="str">
        <f ca="1">IF(AND(FD20&lt;&gt;"",FB22=2),FA22,"")</f>
        <v/>
      </c>
      <c r="FH21" s="75" t="str">
        <f t="shared" ca="1" si="123"/>
        <v>Georgia</v>
      </c>
      <c r="FI21" s="75">
        <f ca="1">SUMPRODUCT((JC3:JC42=FH21)*(JF3:JF42=FH22)*(JM3:JM42="W"))+SUMPRODUCT((JC3:JC42=FH21)*(JF3:JF42=FH18)*(JM3:JM42="W"))+SUMPRODUCT((JC3:JC42=FH21)*(JF3:JF42=FH19)*(JM3:JM42="W"))+SUMPRODUCT((JC3:JC42=FH21)*(JF3:JF42=FH20)*(JM3:JM42="W"))+SUMPRODUCT((JC3:JC42=FH22)*(JF3:JF42=FH21)*(JN3:JN42="W"))+SUMPRODUCT((JC3:JC42=FH18)*(JF3:JF42=FH21)*(JN3:JN42="W"))+SUMPRODUCT((JC3:JC42=FH19)*(JF3:JF42=FH21)*(JN3:JN42="W"))+SUMPRODUCT((JC3:JC42=FH20)*(JF3:JF42=FH21)*(JN3:JN42="W"))</f>
        <v>0</v>
      </c>
      <c r="FJ21" s="75">
        <f ca="1">SUMPRODUCT((JC3:JC42=FH21)*(JF3:JF42=FH22)*(JM3:JM42="D"))+SUMPRODUCT((JC3:JC42=FH21)*(JF3:JF42=FH18)*(JM3:JM42="D"))+SUMPRODUCT((JC3:JC42=FH21)*(JF3:JF42=FH19)*(JM3:JM42="D"))+SUMPRODUCT((JC3:JC42=FH21)*(JF3:JF42=FH20)*(JM3:JM42="D"))+SUMPRODUCT((JC3:JC42=FH22)*(JF3:JF42=FH21)*(JM3:JM42="D"))+SUMPRODUCT((JC3:JC42=FH18)*(JF3:JF42=FH21)*(JM3:JM42="D"))+SUMPRODUCT((JC3:JC42=FH19)*(JF3:JF42=FH21)*(JM3:JM42="D"))+SUMPRODUCT((JC3:JC42=FH20)*(JF3:JF42=FH21)*(JM3:JM42="D"))</f>
        <v>0</v>
      </c>
      <c r="FK21" s="75">
        <f ca="1">SUMPRODUCT((JC3:JC42=FH21)*(JF3:JF42=FH22)*(JM3:JM42="L"))+SUMPRODUCT((JC3:JC42=FH21)*(JF3:JF42=FH18)*(JM3:JM42="L"))+SUMPRODUCT((JC3:JC42=FH21)*(JF3:JF42=FH19)*(JM3:JM42="L"))+SUMPRODUCT((JC3:JC42=FH21)*(JF3:JF42=FH20)*(JM3:JM42="L"))+SUMPRODUCT((JC3:JC42=FH22)*(JF3:JF42=FH21)*(JN3:JN42="L"))+SUMPRODUCT((JC3:JC42=FH18)*(JF3:JF42=FH21)*(JN3:JN42="L"))+SUMPRODUCT((JC3:JC42=FH19)*(JF3:JF42=FH21)*(JN3:JN42="L"))+SUMPRODUCT((JC3:JC42=FH20)*(JF3:JF42=FH21)*(JN3:JN42="L"))</f>
        <v>0</v>
      </c>
      <c r="FL21" s="75">
        <f ca="1">IF(FH21&lt;&gt;"",VLOOKUP(FH21,EI4:EM29,5,FALSE),0)</f>
        <v>0</v>
      </c>
      <c r="FM21" s="75">
        <f ca="1">IF(FH21&lt;&gt;"",VLOOKUP(FH21,EI4:EN29,6,FALSE),0)</f>
        <v>0</v>
      </c>
      <c r="FN21" s="75">
        <f ca="1">FL21-FM21+1000</f>
        <v>1000</v>
      </c>
      <c r="FO21" s="75">
        <f ca="1">IF(FH21&lt;&gt;"",VLOOKUP(FH21,EI4:EP29,8,FALSE),0)</f>
        <v>0</v>
      </c>
      <c r="FP21" s="75">
        <f ca="1">IF(FH21&lt;&gt;"",VLOOKUP(FH21,EI4:EQ29,9,FALSE),0)</f>
        <v>0</v>
      </c>
      <c r="FQ21" s="75">
        <f ca="1">IF(FH21&lt;&gt;"",FO21-FP21+1000,"")</f>
        <v>1000</v>
      </c>
      <c r="FR21" s="75">
        <f ca="1">IF(FH21&lt;&gt;"",VLOOKUP(FH21,EI18:EM22,5,FALSE),"")</f>
        <v>0</v>
      </c>
      <c r="FS21" s="75">
        <f ca="1">IF(FH21&lt;&gt;"",VLOOKUP(FH21,EI18:EP22,8,FALSE),"")</f>
        <v>0</v>
      </c>
      <c r="FT21" s="75">
        <f ca="1">IF(FH21&lt;&gt;"",VLOOKUP(FH21,EI18:EW22,15,FALSE),"")</f>
        <v>13</v>
      </c>
      <c r="FU21" s="75">
        <f ca="1">SUMPRODUCT((JC3:JC42=FH21)*(JF3:JF42=FH22)*JI3:JI42)+SUMPRODUCT((JC3:JC42=FH21)*(JF3:JF42=FH18)*JI3:JI42)+SUMPRODUCT((JC3:JC42=FH21)*(JF3:JF42=FH19)*JI3:JI42)+SUMPRODUCT((JC3:JC42=FH21)*(JF3:JF42=FH20)*JI3:JI42)+SUMPRODUCT((JC3:JC42=FH22)*(JF3:JF42=FH21)*JJ3:JJ42)+SUMPRODUCT((JC3:JC42=FH18)*(JF3:JF42=FH21)*JJ3:JJ42)+SUMPRODUCT((JC3:JC42=FH19)*(JF3:JF42=FH21)*JJ3:JJ42)+SUMPRODUCT((JC3:JC42=FH20)*(JF3:JF42=FH21)*JJ3:JJ42)</f>
        <v>0</v>
      </c>
      <c r="FV21" s="75">
        <f ca="1">SUMPRODUCT((JC3:JC42=FH21)*(JF3:JF42=FH22)*JK3:JK42)+SUMPRODUCT((JC3:JC42=FH21)*(JF3:JF42=FH18)*JK3:JK42)+SUMPRODUCT((JC3:JC42=FH21)*(JF3:JF42=FH19)*JK3:JK42)+SUMPRODUCT((JC3:JC42=FH21)*(JF3:JF42=FH20)*JK3:JK42)+SUMPRODUCT((JC3:JC42=FH22)*(JF3:JF42=FH21)*JL3:JL42)+SUMPRODUCT((JC3:JC42=FH18)*(JF3:JF42=FH21)*JL3:JL42)+SUMPRODUCT((JC3:JC42=FH19)*(JF3:JF42=FH21)*JL3:JL42)+SUMPRODUCT((JC3:JC42=FH20)*(JF3:JF42=FH21)*JL3:JL42)</f>
        <v>0</v>
      </c>
      <c r="FW21" s="75">
        <f ca="1">IF(FH21&lt;&gt;"",FI21*4+FJ21*2+FU21+FV21,"")</f>
        <v>0</v>
      </c>
      <c r="FX21" s="75">
        <f ca="1">IF(FH21&lt;&gt;"",RANK(FW21,FW18:FW22),"")</f>
        <v>1</v>
      </c>
      <c r="FY21" s="75">
        <f ca="1">SUMPRODUCT((FW18:FW22=FW21)*(FN18:FN22&gt;FN21))</f>
        <v>0</v>
      </c>
      <c r="FZ21" s="75">
        <f ca="1">SUMPRODUCT((FW18:FW22=FW21)*(FN18:FN22=FN21)*(FQ18:FQ22&gt;FQ21))</f>
        <v>0</v>
      </c>
      <c r="GA21" s="75">
        <f ca="1">SUMPRODUCT((FW18:FW22=FW21)*(FN18:FN22=FN21)*(FQ18:FQ22=FQ21)*(FR18:FR22&gt;FR21))</f>
        <v>0</v>
      </c>
      <c r="GB21" s="75">
        <f ca="1">SUMPRODUCT((FW18:FW22=FW21)*(FN18:FN22=FN21)*(FQ18:FQ22=FQ21)*(FR18:FR22=FR21)*(FS18:FS22&gt;FS21))</f>
        <v>0</v>
      </c>
      <c r="GC21" s="75">
        <f ca="1">SUMPRODUCT((FW18:FW22=FW21)*(FN18:FN22=FN21)*(FQ18:FQ22=FQ21)*(FR18:FR22=FR21)*(FS18:FS22=FS21)*(FT18:FT22&gt;FT21))</f>
        <v>1</v>
      </c>
      <c r="GD21" s="75">
        <f t="shared" ca="1" si="126"/>
        <v>2</v>
      </c>
      <c r="GE21" s="75" t="str">
        <f ca="1">IF(FH21&lt;&gt;"",INDEX(FH18:FH22,MATCH(4,GD18:GD22,0),0),"")</f>
        <v>Argentina</v>
      </c>
      <c r="GF21" s="75" t="str">
        <f ca="1">IF(FD20&lt;&gt;"",FD20,"")</f>
        <v/>
      </c>
      <c r="GG21" s="75" t="str">
        <f ca="1">IF(GF21&lt;&gt;"",SUMPRODUCT((JC3:JC42=GF21)*(JF3:JF42=GF22)*(JM3:JM42="W"))+SUMPRODUCT((JC3:JC42=GF21)*(JF3:JF42=GF19)*(JM3:JM42="W"))+SUMPRODUCT((JC3:JC42=GF21)*(JF3:JF42=GF20)*(JM3:JM42="W"))+SUMPRODUCT((JC3:JC42=GF22)*(JF3:JF42=GF21)*(JN3:JN42="W"))+SUMPRODUCT((JC3:JC42=GF19)*(JF3:JF42=GF21)*(JN3:JN42="W"))+SUMPRODUCT((JC3:JC42=GF20)*(JF3:JF42=GF21)*(JN3:JN42="W")),"")</f>
        <v/>
      </c>
      <c r="GH21" s="75" t="str">
        <f ca="1">IF(GF21&lt;&gt;"",SUMPRODUCT((JC3:JC42=GF21)*(JF3:JF42=GF22)*(JM3:JM42="D"))+SUMPRODUCT((JC3:JC42=GF21)*(JF3:JF42=GF19)*(JM3:JM42="D"))+SUMPRODUCT((JC3:JC42=GF21)*(JF3:JF42=GF20)*(JM3:JM42="D"))+SUMPRODUCT((JC3:JC42=GF22)*(JF3:JF42=GF21)*(JM3:JM42="D"))+SUMPRODUCT((JC3:JC42=GF19)*(JF3:JF42=GF21)*(JM3:JM42="D"))+SUMPRODUCT((JC3:JC42=GF20)*(JF3:JF42=GF21)*(JM3:JM42="D")),"")</f>
        <v/>
      </c>
      <c r="GI21" s="75" t="str">
        <f ca="1">IF(GF21&lt;&gt;"",SUMPRODUCT((JC3:JC42=GF21)*(JF3:JF42=GF22)*(JM3:JM42="L"))+SUMPRODUCT((JC3:JC42=GF21)*(JF3:JF42=GF19)*(JM3:JM42="L"))+SUMPRODUCT((JC3:JC42=GF21)*(JF3:JF42=GF20)*(JM3:JM42="L"))+SUMPRODUCT((JC3:JC42=GF22)*(JF3:JF42=GF21)*(JN3:JN42="L"))+SUMPRODUCT((JC3:JC42=GF19)*(JF3:JF42=GF21)*(JN3:JN42="L"))+SUMPRODUCT((JC3:JC42=GF20)*(JF3:JF42=GF21)*(JN3:JN42="L")),"")</f>
        <v/>
      </c>
      <c r="GJ21" s="75">
        <f ca="1">IF(GF21&lt;&gt;"",VLOOKUP(GF21,EI4:EM29,5,FALSE),0)</f>
        <v>0</v>
      </c>
      <c r="GK21" s="75">
        <f ca="1">IF(GF21&lt;&gt;"",VLOOKUP(GF21,EI4:EN29,6,FALSE),0)</f>
        <v>0</v>
      </c>
      <c r="GL21" s="75">
        <f ca="1">GJ21-GK21+1000</f>
        <v>1000</v>
      </c>
      <c r="GM21" s="75">
        <f ca="1">IF(GF21&lt;&gt;"",VLOOKUP(GF21,EI4:EP29,8,FALSE),0)</f>
        <v>0</v>
      </c>
      <c r="GN21" s="75">
        <f ca="1">IF(GF21&lt;&gt;"",VLOOKUP(GF21,EI4:EQ29,9,FALSE),0)</f>
        <v>0</v>
      </c>
      <c r="GO21" s="75" t="str">
        <f ca="1">IF(GF21&lt;&gt;"",GM21-GN21+1000,"")</f>
        <v/>
      </c>
      <c r="GP21" s="75" t="str">
        <f ca="1">IF(GF21&lt;&gt;"",VLOOKUP(GF21,EI18:EM22,5,FALSE),"")</f>
        <v/>
      </c>
      <c r="GQ21" s="75" t="str">
        <f ca="1">IF(GF21&lt;&gt;"",VLOOKUP(GF21,EI18:EP22,8,FALSE),"")</f>
        <v/>
      </c>
      <c r="GR21" s="75" t="str">
        <f ca="1">IF(GF21&lt;&gt;"",VLOOKUP(GF21,EI18:EW22,15,FALSE),"")</f>
        <v/>
      </c>
      <c r="GS21" s="75" t="str">
        <f ca="1">IF(GF21&lt;&gt;"",SUMPRODUCT((JC3:JC42=GF21)*(JF3:JF42=GF22)*JI3:JI42)+SUMPRODUCT((JC3:JC42=GF21)*(JF3:JF42=GF19)*JI3:JI42)+SUMPRODUCT((JC3:JC42=GF21)*(JF3:JF42=GF20)*JI3:JI42)+SUMPRODUCT((JC3:JC42=GF22)*(JF3:JF42=GF21)*JJ3:JJ42)+SUMPRODUCT((JC3:JC42=GF19)*(JF3:JF42=GF21)*JJ3:JJ42)+SUMPRODUCT((JC3:JC42=GF20)*(JF3:JF42=GF21)*JJ3:JJ42),"")</f>
        <v/>
      </c>
      <c r="GT21" s="75" t="str">
        <f ca="1">IF(GF21&lt;&gt;"",SUMPRODUCT((JC3:JC42=GF21)*(JF3:JF42=GF22)*JK3:JK42)+SUMPRODUCT((JC3:JC42=GF21)*(JF3:JF42=GF19)*JK3:JK42)+SUMPRODUCT((JC3:JC42=GF21)*(JF3:JF42=GF20)*JK3:JK42)+SUMPRODUCT((JC3:JC42=GF22)*(JF3:JF42=GF21)*JL3:JL42)+SUMPRODUCT((JC3:JC42=GF19)*(JF3:JF42=GF21)*JL3:JL42)+SUMPRODUCT((JC3:JC42=GF20)*(JF3:JF42=GF21)*JL3:JL42),"")</f>
        <v/>
      </c>
      <c r="GU21" s="75" t="str">
        <f ca="1">IF(GF21&lt;&gt;"",GG21*4+GH21*2+GS21+GT21,"")</f>
        <v/>
      </c>
      <c r="GV21" s="75" t="str">
        <f ca="1">IF(GF21&lt;&gt;"",RANK(GU21,GU19:GU22),"")</f>
        <v/>
      </c>
      <c r="GW21" s="75">
        <f ca="1">SUMPRODUCT((GU19:GU22=GU21)*(GL19:GL22&gt;GL21))</f>
        <v>0</v>
      </c>
      <c r="GX21" s="75">
        <f ca="1">SUMPRODUCT((GU19:GU22=GU21)*(GL19:GL22=GL21)*(GO19:GO22&gt;GO21))</f>
        <v>0</v>
      </c>
      <c r="GY21" s="75">
        <f ca="1">SUMPRODUCT((GU18:GU22=GU21)*(GL18:GL22=GL21)*(GO18:GO22=GO21)*(GP18:GP22&gt;GP21))</f>
        <v>0</v>
      </c>
      <c r="GZ21" s="75">
        <f ca="1">SUMPRODUCT((GU18:GU22=GU21)*(GL18:GL22=GL21)*(GO18:GO22=GO21)*(GP18:GP22=GP21)*(GQ18:GQ22&gt;GQ21))</f>
        <v>0</v>
      </c>
      <c r="HA21" s="75">
        <f ca="1">SUMPRODUCT((GU18:GU22=GU21)*(GL18:GL22=GL21)*(GO18:GO22=GO21)*(GP18:GP22=GP21)*(GQ18:GQ22=GQ21)*(GR18:GR22&gt;GR21))</f>
        <v>0</v>
      </c>
      <c r="HB21" s="75" t="str">
        <f t="shared" ca="1" si="127"/>
        <v/>
      </c>
      <c r="HC21" s="75" t="str">
        <f ca="1">IF(GF21&lt;&gt;"",INDEX(GF19:GF22,MATCH(4,HB19:HB22,0),0),"")</f>
        <v/>
      </c>
      <c r="HD21" s="75" t="str">
        <f ca="1">IF(FE19&lt;&gt;"",FE19,"")</f>
        <v/>
      </c>
      <c r="HE21" s="75">
        <f ca="1">SUMPRODUCT((JC3:JC42=HD21)*(JF3:JF42=HD22)*(JM3:JM42="W"))+SUMPRODUCT((JC3:JC42=HD21)*(JF3:JF42=HD23)*(JM3:JM42="W"))+SUMPRODUCT((JC3:JC42=HD21)*(JF3:JF42=HD20)*(JM3:JM42="W"))+SUMPRODUCT((JC3:JC42=HD22)*(JF3:JF42=HD21)*(JN3:JN42="W"))+SUMPRODUCT((JC3:JC42=HD23)*(JF3:JF42=HD21)*(JN3:JN42="W"))+SUMPRODUCT((JC3:JC42=HD20)*(JF3:JF42=HD21)*(JN3:JN42="W"))</f>
        <v>0</v>
      </c>
      <c r="HF21" s="75">
        <f ca="1">SUMPRODUCT((JC3:JC42=HD21)*(JF3:JF42=HD22)*(JM3:JM42="D"))+SUMPRODUCT((JC3:JC42=HD21)*(JF3:JF42=HD23)*(JM3:JM42="D"))+SUMPRODUCT((JC3:JC42=HD21)*(JF3:JF42=HD20)*(JM3:JM42="D"))+SUMPRODUCT((JC3:JC42=HD22)*(JF3:JF42=HD21)*(JM3:JM42="D"))+SUMPRODUCT((JC3:JC42=HD23)*(JF3:JF42=HD21)*(JM3:JM42="D"))+SUMPRODUCT((JC3:JC42=HD20)*(JF3:JF42=HD21)*(JM3:JM42="D"))</f>
        <v>0</v>
      </c>
      <c r="HG21" s="75">
        <f ca="1">SUMPRODUCT((JC3:JC42=HD21)*(JF3:JF42=HD22)*(JM3:JM42="L"))+SUMPRODUCT((JC3:JC42=HD21)*(JF3:JF42=HD23)*(JM3:JM42="L"))+SUMPRODUCT((JC3:JC42=HD21)*(JF3:JF42=HD20)*(JM3:JM42="L"))+SUMPRODUCT((JC3:JC42=HD22)*(JF3:JF42=HD21)*(JN3:JN42="L"))+SUMPRODUCT((JC3:JC42=HD23)*(JF3:JF42=HD21)*(JN3:JN42="L"))+SUMPRODUCT((JC3:JC42=HD20)*(JF3:JF42=HD21)*(JN3:JN42="L"))</f>
        <v>0</v>
      </c>
      <c r="HH21" s="75">
        <f ca="1">IF(HD21&lt;&gt;"",VLOOKUP(HD21,EI4:EM29,5,FALSE),0)</f>
        <v>0</v>
      </c>
      <c r="HI21" s="75">
        <f ca="1">IF(HD21&lt;&gt;"",VLOOKUP(HD21,EI4:EN29,6,FALSE),0)</f>
        <v>0</v>
      </c>
      <c r="HJ21" s="75">
        <f ca="1">HH21-HI21+1000</f>
        <v>1000</v>
      </c>
      <c r="HK21" s="75">
        <f ca="1">IF(HD21&lt;&gt;"",VLOOKUP(HD21,EI4:EP29,8,FALSE),0)</f>
        <v>0</v>
      </c>
      <c r="HL21" s="75">
        <f ca="1">IF(HD21&lt;&gt;"",VLOOKUP(HD21,EI4:EQ29,9,FALSE),0)</f>
        <v>0</v>
      </c>
      <c r="HM21" s="75">
        <f t="shared" ref="HM21" ca="1" si="135">HK21-HL21+1000</f>
        <v>1000</v>
      </c>
      <c r="HN21" s="75" t="str">
        <f ca="1">IF(HD21&lt;&gt;"",VLOOKUP(HD21,EI18:EM22,5,FALSE),"")</f>
        <v/>
      </c>
      <c r="HO21" s="75" t="str">
        <f ca="1">IF(HD21&lt;&gt;"",VLOOKUP(HD21,EI18:EP22,8,FALSE),"")</f>
        <v/>
      </c>
      <c r="HP21" s="75" t="str">
        <f ca="1">IF(HD21&lt;&gt;"",VLOOKUP(HD21,EI18:EW22,15,FALSE),"")</f>
        <v/>
      </c>
      <c r="HQ21" s="75">
        <f ca="1">SUMPRODUCT((JC3:JC42=HD21)*(JF3:JF42=HD22)*JI3:JI42)+SUMPRODUCT((JC3:JC42=HD21)*(JF3:JF42=HD23)*JI3:JI42)+SUMPRODUCT((JC3:JC42=HD21)*(JF3:JF42=HD20)*JI3:JI42)+SUMPRODUCT((JC3:JC42=HD22)*(JF3:JF42=HD21)*JJ3:JJ42)+SUMPRODUCT((JC3:JC42=HD23)*(JF3:JF42=HD21)*JJ3:JJ42)+SUMPRODUCT((JC3:JC42=HD20)*(JF3:JF42=HD21)*JJ3:JJ42)</f>
        <v>0</v>
      </c>
      <c r="HR21" s="75">
        <f ca="1">SUMPRODUCT((JC3:JC42=HD21)*(JF3:JF42=HD22)*JK3:JK42)+SUMPRODUCT((JC3:JC42=HD21)*(JF3:JF42=HD23)*JK3:JK42)+SUMPRODUCT((JC3:JC42=HD21)*(JF3:JF42=HD20)*JK3:JK42)+SUMPRODUCT((JC3:JC42=HD22)*(JF3:JF42=HD21)*JL3:JL42)+SUMPRODUCT((JC3:JC42=HD23)*(JF3:JF42=HD21)*JL3:JL42)+SUMPRODUCT((JC3:JC42=HD20)*(JF3:JF42=HD21)*JL3:JL42)</f>
        <v>0</v>
      </c>
      <c r="HS21" s="75">
        <f t="shared" ref="HS21" ca="1" si="136">HE21*4+HF21*2+HQ21+HR21</f>
        <v>0</v>
      </c>
      <c r="HT21" s="75" t="str">
        <f ca="1">IF(HD21&lt;&gt;"",RANK(HS21,HS20:HS23),"")</f>
        <v/>
      </c>
      <c r="HU21" s="75">
        <f ca="1">SUMPRODUCT((HS20:HS23=HS21)*(HJ20:HJ23&gt;HJ21))</f>
        <v>0</v>
      </c>
      <c r="HV21" s="75">
        <f ca="1">SUMPRODUCT((HS20:HS23=HS21)*(HJ20:HJ23=HJ21)*(HM20:HM23&gt;HM21))</f>
        <v>0</v>
      </c>
      <c r="HW21" s="75">
        <f ca="1">SUMPRODUCT((HS18:HS22=HS21)*(HJ18:HJ22=HJ21)*(HM18:HM22=HM21)*(HN18:HN22&gt;HN21))</f>
        <v>0</v>
      </c>
      <c r="HX21" s="75">
        <f ca="1">SUMPRODUCT((HS18:HS22=HS21)*(HJ18:HJ22=HJ21)*(HM18:HM22=HM21)*(HN18:HN22=HN21)*(HO18:HO22&gt;HO21))</f>
        <v>0</v>
      </c>
      <c r="HY21" s="75">
        <f ca="1">SUMPRODUCT((HS18:HS22=HS21)*(HJ18:HJ22=HJ21)*(HM18:HM22=HM21)*(HN18:HN22=HN21)*(HO18:HO22=HO21)*(HP18:HP22&gt;HP21))</f>
        <v>0</v>
      </c>
      <c r="HZ21" s="75" t="str">
        <f t="shared" ca="1" si="131"/>
        <v/>
      </c>
      <c r="IA21" s="75" t="str">
        <f ca="1">IF(HD21&lt;&gt;"",INDEX(HD20:HD22,MATCH(4,HZ20:HZ22,0),0),"")</f>
        <v/>
      </c>
      <c r="IB21" s="75" t="str">
        <f ca="1">IF(FF18&lt;&gt;"",FF18,"")</f>
        <v/>
      </c>
      <c r="IC21" s="75">
        <f ca="1">SUMPRODUCT((JC3:JC42=IB21)*(JF3:JF42=IB22)*(JM3:JM42="W"))+SUMPRODUCT((JC3:JC42=IB21)*(JF3:JF42=IB23)*(JM3:JM42="W"))+SUMPRODUCT((JC3:JC42=IB21)*(JF3:JF42=IB24)*(JM3:JM42="W"))+SUMPRODUCT((JC3:JC42=IB22)*(JF3:JF42=IB21)*(JN3:JN42="W"))+SUMPRODUCT((JC3:JC42=IB23)*(JF3:JF42=IB21)*(JN3:JN42="W"))+SUMPRODUCT((JC3:JC42=IB24)*(JF3:JF42=IB21)*(JN3:JN42="W"))</f>
        <v>0</v>
      </c>
      <c r="ID21" s="75">
        <f ca="1">SUMPRODUCT((JC3:JC42=IB21)*(JF3:JF42=IB22)*(JM3:JM42="D"))+SUMPRODUCT((JC3:JC42=IB21)*(JF3:JF42=IB23)*(JM3:JM42="D"))+SUMPRODUCT((JC3:JC42=IB21)*(JF3:JF42=IB24)*(JM3:JM42="D"))+SUMPRODUCT((JC3:JC42=IB22)*(JF3:JF42=IB21)*(JM3:JM42="D"))+SUMPRODUCT((JC3:JC42=IB23)*(JF3:JF42=IB21)*(JM3:JM42="D"))+SUMPRODUCT((JC3:JC42=IB24)*(JF3:JF42=IB21)*(JM3:JM42="D"))</f>
        <v>0</v>
      </c>
      <c r="IE21" s="75">
        <f ca="1">SUMPRODUCT((JC3:JC42=IB21)*(JF3:JF42=IB22)*(JM3:JM42="L"))+SUMPRODUCT((JC3:JC42=IB21)*(JF3:JF42=IB23)*(JM3:JM42="L"))+SUMPRODUCT((JC3:JC42=IB21)*(JF3:JF42=IB24)*(JM3:JM42="L"))+SUMPRODUCT((JC3:JC42=IB22)*(JF3:JF42=IB21)*(JN3:JN42="L"))+SUMPRODUCT((JC3:JC42=IB23)*(JF3:JF42=IB21)*(JN3:JN42="L"))+SUMPRODUCT((JC3:JC42=IB24)*(JF3:JF42=IB21)*(JN3:JN42="L"))</f>
        <v>0</v>
      </c>
      <c r="IF21" s="75">
        <f ca="1">IF(IB21&lt;&gt;"",VLOOKUP(IB21,EI4:EM29,5,FALSE),0)</f>
        <v>0</v>
      </c>
      <c r="IG21" s="75">
        <f ca="1">IF(IB21&lt;&gt;"",VLOOKUP(IB21,EI4:EN29,6,FALSE),0)</f>
        <v>0</v>
      </c>
      <c r="IH21" s="75">
        <f ca="1">IF21-IG21+1000</f>
        <v>1000</v>
      </c>
      <c r="II21" s="75">
        <f ca="1">IF(IB21&lt;&gt;"",VLOOKUP(IB21,EI4:EP29,8,FALSE),0)</f>
        <v>0</v>
      </c>
      <c r="IJ21" s="75">
        <f ca="1">IF(IB21&lt;&gt;"",VLOOKUP(IB21,EI4:EQ29,9,FALSE),0)</f>
        <v>0</v>
      </c>
      <c r="IK21" s="75">
        <f ca="1">II21-IJ21+1000</f>
        <v>1000</v>
      </c>
      <c r="IL21" s="75" t="str">
        <f ca="1">IF(IB21&lt;&gt;"",VLOOKUP(IB21,EI18:EM22,5,FALSE),"")</f>
        <v/>
      </c>
      <c r="IM21" s="75" t="str">
        <f ca="1">IF(IB21&lt;&gt;"",VLOOKUP(IB21,EI18:EP22,8,FALSE),"")</f>
        <v/>
      </c>
      <c r="IN21" s="75" t="str">
        <f ca="1">IF(IB21&lt;&gt;"",VLOOKUP(IB21,EI18:EW22,15,FALSE),"")</f>
        <v/>
      </c>
      <c r="IO21" s="75">
        <f ca="1">SUMPRODUCT((JC3:JC42=IB21)*(JF3:JF42=IB22)*JI3:JI42)+SUMPRODUCT((JC3:JC42=IB21)*(JF3:JF42=IB23)*JI3:JI42)+SUMPRODUCT((JC3:JC42=IB21)*(JF3:JF42=IB24)*JI3:JI42)+SUMPRODUCT((JC3:JC42=IB22)*(JF3:JF42=IB21)*JJ3:JJ42)+SUMPRODUCT((JC3:JC42=IB23)*(JF3:JF42=IB21)*JJ3:JJ42)+SUMPRODUCT((JC3:JC42=IB24)*(JF3:JF42=IB21)*JJ3:JJ42)</f>
        <v>0</v>
      </c>
      <c r="IP21" s="75">
        <f ca="1">SUMPRODUCT((JC3:JC42=IB21)*(JF3:JF42=IB22)*JK3:JK42)+SUMPRODUCT((JC3:JC42=IB21)*(JF3:JF42=IB23)*JK3:JK42)+SUMPRODUCT((JC3:JC42=IB21)*(JF3:JF42=IB24)*JK3:JK42)+SUMPRODUCT((JC3:JC42=IB22)*(JF3:JF42=IB21)*JL3:JL42)+SUMPRODUCT((JC3:JC42=IB23)*(JF3:JF42=IB21)*JL3:JL42)+SUMPRODUCT((JC3:JC42=IB24)*(JF3:JF42=IB21)*JL3:JL42)</f>
        <v>0</v>
      </c>
      <c r="IQ21" s="75">
        <f ca="1">IC21*4+ID21*2+IO21+IP21</f>
        <v>0</v>
      </c>
      <c r="IR21" s="75" t="str">
        <f ca="1">IF(IB21&lt;&gt;"",RANK(IQ21,IQ21:IQ24),"")</f>
        <v/>
      </c>
      <c r="IS21" s="75">
        <f ca="1">SUMPRODUCT((IQ21:IQ24=IQ21)*(IH21:IH24&gt;IH21))</f>
        <v>0</v>
      </c>
      <c r="IT21" s="75">
        <f ca="1">SUMPRODUCT((IQ21:IQ24=IQ21)*(IH21:IH24=IH21)*(IK21:IK24&gt;IK21))</f>
        <v>0</v>
      </c>
      <c r="IU21" s="75">
        <f ca="1">SUMPRODUCT((IQ18:IQ22=IQ21)*(IH18:IH22=IH21)*(IK18:IK22=IK21)*(IL18:IL22&gt;IL21))</f>
        <v>0</v>
      </c>
      <c r="IV21" s="75">
        <f ca="1">SUMPRODUCT((IQ18:IQ22=IQ21)*(IH18:IH22=IH21)*(IK18:IK22=IK21)*(IL18:IL22=IL21)*(IM18:IM22&gt;IM21))</f>
        <v>0</v>
      </c>
      <c r="IW21" s="75">
        <f ca="1">SUMPRODUCT((IQ18:IQ22=IQ21)*(IH18:IH22=IH21)*(IK18:IK22=IK21)*(IL18:IL22=IL21)*(IM18:IM22=IM21)*(IN18:IN22&gt;IN21))</f>
        <v>0</v>
      </c>
      <c r="IX21" s="75" t="str">
        <f t="shared" ref="IX21:IX22" ca="1" si="137">IF(IB21&lt;&gt;"",SUM(IR21:IW21)+3,"")</f>
        <v/>
      </c>
      <c r="IY21" s="75" t="str">
        <f ca="1">IF(IB21&lt;&gt;"",IF(IX21=4,IB21,IB22),"")</f>
        <v/>
      </c>
      <c r="IZ21" s="75" t="str">
        <f ca="1">IF(IY21&lt;&gt;"",IY21,IF(IA21&lt;&gt;"",IA21,IF(HC21&lt;&gt;"",HC21,IF(GE21&lt;&gt;"",GE21,FA21))))</f>
        <v>Argentina</v>
      </c>
      <c r="JA21" s="75">
        <v>4</v>
      </c>
      <c r="JB21" s="75">
        <v>19</v>
      </c>
      <c r="JC21" s="75" t="str">
        <f t="shared" si="4"/>
        <v>Ireland</v>
      </c>
      <c r="JD21" s="75" t="str">
        <f ca="1">IF(OFFSET('Prediction Sheet'!$W31,0,JD$1)&lt;&gt;"",OFFSET('Prediction Sheet'!$W31,0,JD$1),"")</f>
        <v/>
      </c>
      <c r="JE21" s="75" t="str">
        <f ca="1">IF(OFFSET('Prediction Sheet'!$Y31,0,JD$1)&lt;&gt;"",OFFSET('Prediction Sheet'!$Y31,0,JD$1),"")</f>
        <v/>
      </c>
      <c r="JF21" s="75" t="str">
        <f t="shared" si="5"/>
        <v>Romania</v>
      </c>
      <c r="JG21" s="75" t="str">
        <f ca="1">IF(OFFSET('Prediction Sheet'!$AA31,0,JF$1)&lt;&gt;"",OFFSET('Prediction Sheet'!$AA31,0,JF$1),"")</f>
        <v/>
      </c>
      <c r="JH21" s="75" t="str">
        <f ca="1">IF(OFFSET('Prediction Sheet'!$AC31,0,JG$1)&lt;&gt;"",OFFSET('Prediction Sheet'!$AC31,0,JG$1),"")</f>
        <v/>
      </c>
      <c r="JI21" s="75">
        <f t="shared" ca="1" si="6"/>
        <v>0</v>
      </c>
      <c r="JJ21" s="75">
        <f t="shared" ca="1" si="7"/>
        <v>0</v>
      </c>
      <c r="JK21" s="75">
        <f t="shared" ca="1" si="8"/>
        <v>0</v>
      </c>
      <c r="JL21" s="75">
        <f t="shared" ca="1" si="9"/>
        <v>0</v>
      </c>
      <c r="JM21" s="75" t="str">
        <f t="shared" ca="1" si="10"/>
        <v/>
      </c>
      <c r="JN21" s="75" t="str">
        <f t="shared" ca="1" si="11"/>
        <v/>
      </c>
    </row>
    <row r="22" spans="1:274" x14ac:dyDescent="0.2">
      <c r="A22" s="75">
        <f>VLOOKUP(B22,DS18:DT22,2,FALSE)</f>
        <v>1</v>
      </c>
      <c r="B22" s="75" t="s">
        <v>49</v>
      </c>
      <c r="C22" s="75">
        <f t="shared" si="94"/>
        <v>0</v>
      </c>
      <c r="D22" s="75">
        <f t="shared" si="95"/>
        <v>0</v>
      </c>
      <c r="E22" s="75">
        <f t="shared" si="96"/>
        <v>0</v>
      </c>
      <c r="F22" s="75">
        <f>SUMIF($DV$3:$DV$60,B22,$DW$3:$DW$60)+SUMIF($DY$3:$DY$60,B22,$DX$3:$DX$60)</f>
        <v>0</v>
      </c>
      <c r="G22" s="75">
        <f>SUMIF($DY$3:$DY$60,B22,$DW$3:$DW$60)+SUMIF($DV$3:$DV$60,B22,$DX$3:$DX$60)</f>
        <v>0</v>
      </c>
      <c r="H22" s="75">
        <f t="shared" si="97"/>
        <v>1000</v>
      </c>
      <c r="I22" s="75">
        <f>SUMIF(Tournament!$H$13:$H$52,B22,Tournament!$O$13:$O$52)+SUMIF(Tournament!$N$13:$N$52,B22,Tournament!$Q$13:$Q$52)</f>
        <v>0</v>
      </c>
      <c r="J22" s="75">
        <f>SUMIF(Tournament!$N$13:$N$52,B22,Tournament!$O$13:$O$52)+SUMIF(Tournament!$H$13:$H$52,B22,Tournament!$Q$13:$Q$52)</f>
        <v>0</v>
      </c>
      <c r="K22" s="75">
        <f t="shared" si="98"/>
        <v>1000</v>
      </c>
      <c r="L22" s="75">
        <f t="shared" si="99"/>
        <v>0</v>
      </c>
      <c r="M22" s="75">
        <f>SUMIF(DV:DV,B22,EB:EB)+SUMIF(DY:DY,B22,EC:EC)</f>
        <v>4</v>
      </c>
      <c r="N22" s="75">
        <f>SUMIF(DV:DV,B22,ED:ED)+SUMIF(DY:DY,B22,EE:EE)</f>
        <v>0</v>
      </c>
      <c r="O22" s="75">
        <f t="shared" si="100"/>
        <v>4</v>
      </c>
      <c r="P22" s="75">
        <v>21</v>
      </c>
      <c r="Q22" s="75">
        <f t="shared" si="111"/>
        <v>1</v>
      </c>
      <c r="S22" s="75">
        <f>RANK(O22,$O$18:$O$22)+COUNTIF($O$18:O22,O22)-1</f>
        <v>5</v>
      </c>
      <c r="T22" s="75" t="str">
        <f>INDEX($B$18:$B$22,MATCH(5,$S$18:$S$22,0),0)</f>
        <v>Namibia</v>
      </c>
      <c r="U22" s="75">
        <f t="shared" si="112"/>
        <v>1</v>
      </c>
      <c r="V22" s="75" t="str">
        <f>IF(AND(V21&lt;&gt;"",U22=1),T22,"")</f>
        <v>Namibia</v>
      </c>
      <c r="AA22" s="75" t="str">
        <f t="shared" si="113"/>
        <v>Namibia</v>
      </c>
      <c r="AB22" s="75">
        <f>SUMPRODUCT((DV3:DV42=AA22)*(DY3:DY42=AA18)*(EF3:EF42="W"))+SUMPRODUCT((DV3:DV42=AA22)*(DY3:DY42=AA19)*(EF3:EF42="W"))+SUMPRODUCT((DV3:DV42=AA22)*(DY3:DY42=AA20)*(EF3:EF42="W"))+SUMPRODUCT((DV3:DV42=AA22)*(DY3:DY42=AA21)*(EF3:EF42="W"))+SUMPRODUCT((DV3:DV42=AA18)*(DY3:DY42=AA22)*(EG3:EG42="W"))+SUMPRODUCT((DV3:DV42=AA19)*(DY3:DY42=AA22)*(EG3:EG42="W"))+SUMPRODUCT((DV3:DV42=AA20)*(DY3:DY42=AA22)*(EG3:EG42="W"))+SUMPRODUCT((DV3:DV42=AA21)*(DY3:DY42=AA22)*(EG3:EG42="W"))</f>
        <v>0</v>
      </c>
      <c r="AC22" s="75">
        <f>SUMPRODUCT((DV3:DV42=AA22)*(DY3:DY42=AA18)*(EF3:EF42="D"))+SUMPRODUCT((DV3:DV42=AA22)*(DY3:DY42=AA19)*(EF3:EF42="D"))+SUMPRODUCT((DV3:DV42=AA22)*(DY3:DY42=AA20)*(EF3:EF42="D"))+SUMPRODUCT((DV3:DV42=AA22)*(DY3:DY42=AA21)*(EF3:EF42="D"))+SUMPRODUCT((DV3:DV42=AA18)*(DY3:DY42=AA22)*(EF3:EF42="D"))+SUMPRODUCT((DV3:DV42=AA19)*(DY3:DY42=AA22)*(EF3:EF42="D"))+SUMPRODUCT((DV3:DV42=AA20)*(DY3:DY42=AA22)*(EF3:EF42="D"))+SUMPRODUCT((DV3:DV42=AA21)*(DY3:DY42=AA22)*(EF3:EF42="D"))</f>
        <v>0</v>
      </c>
      <c r="AD22" s="75">
        <f>SUMPRODUCT((DV3:DV42=AA22)*(DY3:DY42=AA18)*(EF3:EF42="L"))+SUMPRODUCT((DV3:DV42=AA22)*(DY3:DY42=AA19)*(EF3:EF42="L"))+SUMPRODUCT((DV3:DV42=AA22)*(DY3:DY42=AA20)*(EF3:EF42="L"))+SUMPRODUCT((DV3:DV42=AA22)*(DY3:DY42=AA21)*(EF3:EF42="L"))+SUMPRODUCT((DV3:DV42=AA18)*(DY3:DY42=AA22)*(EG3:EG42="L"))+SUMPRODUCT((DV3:DV42=AA19)*(DY3:DY42=AA22)*(EG3:EG42="L"))+SUMPRODUCT((DV3:DV42=AA20)*(DY3:DY42=AA22)*(EG3:EG42="L"))+SUMPRODUCT((DV3:DV42=AA21)*(DY3:DY42=AA22)*(EG3:EG42="L"))</f>
        <v>0</v>
      </c>
      <c r="AE22" s="75">
        <f>IF(AA22&lt;&gt;"",VLOOKUP(AA22,B4:F29,5,FALSE),0)</f>
        <v>0</v>
      </c>
      <c r="AF22" s="75">
        <f>IF(AA22&lt;&gt;"",VLOOKUP(AA22,B4:G29,6,FALSE),0)</f>
        <v>0</v>
      </c>
      <c r="AG22" s="75">
        <f>AE22-AF22+1000</f>
        <v>1000</v>
      </c>
      <c r="AH22" s="75">
        <f>IF(AA22&lt;&gt;"",VLOOKUP(AA22,B4:I29,8,FALSE),0)</f>
        <v>0</v>
      </c>
      <c r="AI22" s="75">
        <f>IF(AA22&lt;&gt;"",VLOOKUP(AA22,B4:J29,9,FALSE),0)</f>
        <v>0</v>
      </c>
      <c r="AJ22" s="75">
        <f>IF(AA22&lt;&gt;"",AH22-AI22+1000,"")</f>
        <v>1000</v>
      </c>
      <c r="AK22" s="75">
        <f>IF(AA22&lt;&gt;"",VLOOKUP(AA22,B18:F22,5,FALSE),"")</f>
        <v>0</v>
      </c>
      <c r="AL22" s="75">
        <f>IF(AA22&lt;&gt;"",VLOOKUP(AA22,B18:I22,8,FALSE),"")</f>
        <v>0</v>
      </c>
      <c r="AM22" s="75">
        <f>IF(AA22&lt;&gt;"",VLOOKUP(AA22,B18:P22,15,FALSE),"")</f>
        <v>21</v>
      </c>
      <c r="AN22" s="75">
        <f>SUMPRODUCT((DV3:DV42=AA22)*(DY3:DY42=AA18)*EB3:EB42)+SUMPRODUCT((DV3:DV42=AA22)*(DY3:DY42=AA19)*EB3:EB42)+SUMPRODUCT((DV3:DV42=AA22)*(DY3:DY42=AA20)*EB3:EB42)+SUMPRODUCT((DV3:DV42=AA22)*(DY3:DY42=AA21)*EB3:EB42)+SUMPRODUCT((DV3:DV42=AA18)*(DY3:DY42=AA22)*EC3:EC42)+SUMPRODUCT((DV3:DV42=AA19)*(DY3:DY42=AA22)*EC3:EC42)+SUMPRODUCT((DV3:DV42=AA20)*(DY3:DY42=AA22)*EC3:EC42)+SUMPRODUCT((DV3:DV42=AA21)*(DY3:DY42=AA22)*EC3:EC42)</f>
        <v>4</v>
      </c>
      <c r="AO22" s="75">
        <f>SUMPRODUCT((DV3:DV42=AA22)*(DY3:DY42=AA18)*ED3:ED42)+SUMPRODUCT((DV3:DV42=AA22)*(DY3:DY42=AA19)*ED3:ED42)+SUMPRODUCT((DV3:DV42=AA22)*(DY3:DY42=AA20)*ED3:ED42)+SUMPRODUCT((DV3:DV42=AA22)*(DY3:DY42=AA21)*ED3:ED42)+SUMPRODUCT((DV3:DV42=AA18)*(DY3:DY42=AA22)*EE3:EE42)+SUMPRODUCT((DV3:DV42=AA19)*(DY3:DY42=AA22)*EE3:EE42)+SUMPRODUCT((DV3:DV42=AA20)*(DY3:DY42=AA22)*EE3:EE42)+SUMPRODUCT((DV3:DV42=AA21)*(DY3:DY42=AA22)*EE3:EE42)</f>
        <v>0</v>
      </c>
      <c r="AP22" s="75">
        <f>IF(AA22&lt;&gt;"",AB22*4+AC22*2+AN22+AO22,"")</f>
        <v>4</v>
      </c>
      <c r="AQ22" s="75">
        <f>IF(AA22&lt;&gt;"",RANK(AP22,AP18:AP22),"")</f>
        <v>1</v>
      </c>
      <c r="AR22" s="75">
        <f>SUMPRODUCT((AP18:AP22=AP22)*(AG18:AG22&gt;AG22))</f>
        <v>0</v>
      </c>
      <c r="AS22" s="75">
        <f>SUMPRODUCT((AP18:AP22=AP22)*(AG18:AG22=AG22)*(AJ18:AJ22&gt;AJ22))</f>
        <v>0</v>
      </c>
      <c r="AT22" s="75">
        <f>SUMPRODUCT((AP18:AP22=AP22)*(AG18:AG22=AG22)*(AJ18:AJ22=AJ22)*(AK18:AK22&gt;AK22))</f>
        <v>0</v>
      </c>
      <c r="AU22" s="75">
        <f>SUMPRODUCT((AP18:AP22=AP22)*(AG18:AG22=AG22)*(AJ18:AJ22=AJ22)*(AK18:AK22=AK22)*(AL18:AL22&gt;AL22))</f>
        <v>0</v>
      </c>
      <c r="AV22" s="75">
        <f>SUMPRODUCT((AP18:AP22=AP22)*(AG18:AG22=AG22)*(AJ18:AJ22=AJ22)*(AK18:AK22=AK22)*(AL18:AL22=AL22)*(AM18:AM22&gt;AM22))</f>
        <v>0</v>
      </c>
      <c r="AW22" s="75">
        <f t="shared" si="116"/>
        <v>1</v>
      </c>
      <c r="AX22" s="75" t="str">
        <f>IF(AA22&lt;&gt;"",INDEX(AA18:AA22,MATCH(5,AW18:AW22,0),0),"")</f>
        <v>New Zealand</v>
      </c>
      <c r="AY22" s="75" t="str">
        <f>IF(W21&lt;&gt;"",W21,"")</f>
        <v/>
      </c>
      <c r="AZ22" s="75" t="str">
        <f>IF(AY22&lt;&gt;"",SUMPRODUCT((DV3:DV42=AY22)*(DY3:DY42=AY19)*(EF3:EF42="W"))+SUMPRODUCT((DV3:DV42=AY22)*(DY3:DY42=AY20)*(EF3:EF42="W"))+SUMPRODUCT((DV3:DV42=AY22)*(DY3:DY42=AY21)*(EF3:EF42="W"))+SUMPRODUCT((DV3:DV42=AY19)*(DY3:DY42=AY22)*(EF3:EF42="W"))+SUMPRODUCT((DV3:DV42=AY20)*(DY3:DY42=AY22)*(EF3:EF42="W"))+SUMPRODUCT((DV3:DV42=AY21)*(DY3:DY42=AY22)*(EF3:EF42="W")),"")</f>
        <v/>
      </c>
      <c r="BA22" s="75" t="str">
        <f>IF(AY22&lt;&gt;"",SUMPRODUCT((DV3:DV42=AY22)*(DY3:DY42=AY19)*(EF3:EF42="D"))+SUMPRODUCT((DV3:DV42=AY22)*(DY3:DY42=AY20)*(EF3:EF42="D"))+SUMPRODUCT((DV3:DV42=AY22)*(DY3:DY42=AY21)*(EF3:EF42="D"))+SUMPRODUCT((DV3:DV42=AY19)*(DY3:DY42=AY22)*(EF3:EF42="D"))+SUMPRODUCT((DV3:DV42=AY20)*(DY3:DY42=AY22)*(EF3:EF42="D"))+SUMPRODUCT((DV3:DV42=AY21)*(DY3:DY42=AY22)*(EF3:EF42="D")),"")</f>
        <v/>
      </c>
      <c r="BB22" s="75" t="str">
        <f>IF(AY22&lt;&gt;"",SUMPRODUCT((DV3:DV42=AY22)*(DY3:DY42=AY19)*(EF3:EF42="L"))+SUMPRODUCT((DV3:DV42=AY22)*(DY3:DY42=AY20)*(EF3:EF42="L"))+SUMPRODUCT((DV3:DV42=AY22)*(DY3:DY42=AY21)*(EF3:EF42="L"))+SUMPRODUCT((DV3:DV42=AY19)*(DY3:DY42=AY22)*(EF3:EF42="L"))+SUMPRODUCT((DV3:DV42=AY20)*(DY3:DY42=AY22)*(EF3:EF42="L"))+SUMPRODUCT((DV3:DV42=AY21)*(DY3:DY42=AY22)*(EF3:EF42="L")),"")</f>
        <v/>
      </c>
      <c r="BC22" s="75">
        <f>IF(AY22&lt;&gt;"",VLOOKUP(AY22,B4:F29,5,FALSE),0)</f>
        <v>0</v>
      </c>
      <c r="BD22" s="75">
        <f>IF(AY22&lt;&gt;"",VLOOKUP(AY22,B4:G29,6,FALSE),0)</f>
        <v>0</v>
      </c>
      <c r="BE22" s="75">
        <f>BC22-BD22+1000</f>
        <v>1000</v>
      </c>
      <c r="BF22" s="75">
        <f>IF(AY22&lt;&gt;"",VLOOKUP(AY22,B4:I29,8,FALSE),0)</f>
        <v>0</v>
      </c>
      <c r="BG22" s="75">
        <f>IF(AY22&lt;&gt;"",VLOOKUP(AY22,B4:J29,9,FALSE),0)</f>
        <v>0</v>
      </c>
      <c r="BH22" s="75" t="str">
        <f>IF(AY22&lt;&gt;"",BF22-BG22+1000,"")</f>
        <v/>
      </c>
      <c r="BI22" s="75" t="str">
        <f>IF(AY22&lt;&gt;"",VLOOKUP(AY22,B18:F22,5,FALSE),"")</f>
        <v/>
      </c>
      <c r="BJ22" s="75" t="str">
        <f>IF(AY22&lt;&gt;"",VLOOKUP(AY22,B18:I22,8,FALSE),"")</f>
        <v/>
      </c>
      <c r="BK22" s="75" t="str">
        <f>IF(AY22&lt;&gt;"",VLOOKUP(AY22,B18:P22,15,FALSE),"")</f>
        <v/>
      </c>
      <c r="BL22" s="75" t="str">
        <f>IF(AY22&lt;&gt;"",SUMPRODUCT((DV3:DV42=AY22)*(DY3:DY42=AY19)*EB3:EB42)+SUMPRODUCT((DV3:DV42=AY22)*(DY3:DY42=AY20)*EB3:EB42)+SUMPRODUCT((DV3:DV42=AY22)*(DY3:DY42=AY21)*EB3:EB42)+SUMPRODUCT((DV3:DV42=AY19)*(DY3:DY42=AY22)*EC3:EC42)+SUMPRODUCT((DV3:DV42=AY20)*(DY3:DY42=AY22)*EC3:EC42)+SUMPRODUCT((DV3:DV42=AY21)*(DY3:DY42=AY22)*EC3:EC42),"")</f>
        <v/>
      </c>
      <c r="BM22" s="75" t="str">
        <f>IF(AY22&lt;&gt;"",SUMPRODUCT((DV3:DV42=AY22)*(DY3:DY42=AY19)*ED3:ED42)+SUMPRODUCT((DV3:DV42=AY22)*(DY3:DY42=AY20)*ED3:ED42)+SUMPRODUCT((DV3:DV42=AY22)*(DY3:DY42=AY21)*ED3:ED42)+SUMPRODUCT((DV3:DV42=AY19)*(DY3:DY42=AY22)*EE3:EE42)+SUMPRODUCT((DV3:DV42=AY20)*(DY3:DY42=AY22)*EE3:EE42)+SUMPRODUCT((DV3:DV42=AY21)*(DY3:DY42=AY22)*EE3:EE42),"")</f>
        <v/>
      </c>
      <c r="BN22" s="75" t="str">
        <f>IF(AY22&lt;&gt;"",AZ22*4+BA22*2+BL22+BM22,"")</f>
        <v/>
      </c>
      <c r="BO22" s="75" t="str">
        <f>IF(AY22&lt;&gt;"",RANK(BN22,BN19:BN22),"")</f>
        <v/>
      </c>
      <c r="BP22" s="75">
        <f>SUMPRODUCT((BN19:BN22=BN22)*(BE19:BE22&gt;BE22))</f>
        <v>0</v>
      </c>
      <c r="BQ22" s="75">
        <f>SUMPRODUCT((BN19:BN22=BN22)*(BE19:BE22=BE22)*(BH19:BH22&gt;BH22))</f>
        <v>0</v>
      </c>
      <c r="BR22" s="75">
        <f>SUMPRODUCT((BN18:BN22=BN22)*(BE18:BE22=BE22)*(BH18:BH22=BH22)*(BI18:BI22&gt;BI22))</f>
        <v>0</v>
      </c>
      <c r="BS22" s="75">
        <f>SUMPRODUCT((BN18:BN22=BN22)*(BE18:BE22=BE22)*(BH18:BH22=BH22)*(BI18:BI22=BI22)*(BJ18:BJ22&gt;BJ22))</f>
        <v>0</v>
      </c>
      <c r="BT22" s="75">
        <f>SUMPRODUCT((BN18:BN22=BN22)*(BE18:BE22=BE22)*(BH18:BH22=BH22)*(BI18:BI22=BI22)*(BJ18:BJ22=BJ22)*(BK18:BK22&gt;BK22))</f>
        <v>0</v>
      </c>
      <c r="BU22" s="75" t="str">
        <f t="shared" si="117"/>
        <v/>
      </c>
      <c r="BV22" s="75" t="str">
        <f>IF(AY22&lt;&gt;"",INDEX(AY19:AY22,MATCH(5,BU19:BU22,0),0),"")</f>
        <v/>
      </c>
      <c r="BW22" s="75" t="str">
        <f>IF(X20&lt;&gt;"",X20,"")</f>
        <v/>
      </c>
      <c r="BX22" s="75" t="str">
        <f>IF(BW22&lt;&gt;"",SUMPRODUCT((DV3:DV42=BW22)*(DY3:DY42=BW23)*(EF3:EF42="W"))+SUMPRODUCT((DV3:DV42=BW22)*(DY3:DY42=BW20)*(EF3:EF42="W"))+SUMPRODUCT((DV3:DV42=BW22)*(DY3:DY42=BW21)*(EF3:EF42="W"))+SUMPRODUCT((DV3:DV42=BW23)*(DY3:DY42=BW22)*(EG3:EG42="W"))+SUMPRODUCT((DV3:DV42=BW20)*(DY3:DY42=BW22)*(EG3:EG42="W"))+SUMPRODUCT((DV3:DV42=BW21)*(DY3:DY42=BW22)*(EG3:EG42="W")),"")</f>
        <v/>
      </c>
      <c r="BY22" s="75" t="str">
        <f>IF(BW22&lt;&gt;"",SUMPRODUCT((DV3:DV42=BW22)*(DY3:DY42=BW23)*(EF3:EF42="D"))+SUMPRODUCT((DV3:DV42=BW22)*(DY3:DY42=BW20)*(EF3:EF42="D"))+SUMPRODUCT((DV3:DV42=BW22)*(DY3:DY42=BW21)*(EF3:EF42="D"))+SUMPRODUCT((DV3:DV42=BW23)*(DY3:DY42=BW22)*(EF3:EF42="D"))+SUMPRODUCT((DV3:DV42=BW20)*(DY3:DY42=BW22)*(EF3:EF42="D"))+SUMPRODUCT((DV3:DV42=BW21)*(DY3:DY42=BW22)*(EF3:EF42="D")),"")</f>
        <v/>
      </c>
      <c r="BZ22" s="75" t="str">
        <f>IF(BW22&lt;&gt;"",SUMPRODUCT((DV3:DV42=BW22)*(DY3:DY42=BW23)*(EF3:EF42="L"))+SUMPRODUCT((DV3:DV42=BW22)*(DY3:DY42=BW20)*(EF3:EF42="L"))+SUMPRODUCT((DV3:DV42=BW22)*(DY3:DY42=BW21)*(EF3:EF42="L"))+SUMPRODUCT((DV3:DV42=BW23)*(DY3:DY42=BW22)*(EG3:EG42="L"))+SUMPRODUCT((DV3:DV42=BW20)*(DY3:DY42=BW22)*(EG3:EG42="L"))+SUMPRODUCT((DV3:DV42=BW21)*(DY3:DY42=BW22)*(EG3:EG42="L")),"")</f>
        <v/>
      </c>
      <c r="CA22" s="75">
        <f>IF(BW22&lt;&gt;"",VLOOKUP(BW22,B4:F29,5,FALSE),0)</f>
        <v>0</v>
      </c>
      <c r="CB22" s="75">
        <f>IF(BW22&lt;&gt;"",VLOOKUP(BW22,B4:G29,6,FALSE),0)</f>
        <v>0</v>
      </c>
      <c r="CC22" s="75">
        <f>CA22-CB22+1000</f>
        <v>1000</v>
      </c>
      <c r="CD22" s="75">
        <f>IF(BW22&lt;&gt;"",VLOOKUP(BW22,B4:I29,8,FALSE),0)</f>
        <v>0</v>
      </c>
      <c r="CE22" s="75">
        <f>IF(BW22&lt;&gt;"",VLOOKUP(BW22,B4:J29,9,FALSE),0)</f>
        <v>0</v>
      </c>
      <c r="CF22" s="75" t="str">
        <f>IF(BW22&lt;&gt;"",CD22-CE22+1000,"")</f>
        <v/>
      </c>
      <c r="CG22" s="75" t="str">
        <f>IF(BW22&lt;&gt;"",VLOOKUP(BW22,B18:F22,5,FALSE),"")</f>
        <v/>
      </c>
      <c r="CH22" s="75" t="str">
        <f>IF(BW22&lt;&gt;"",VLOOKUP(BW22,B18:I22,8,FALSE),"")</f>
        <v/>
      </c>
      <c r="CI22" s="75" t="str">
        <f>IF(BW22&lt;&gt;"",VLOOKUP(BW22,B18:P22,15,FALSE),"")</f>
        <v/>
      </c>
      <c r="CJ22" s="75" t="str">
        <f>IF(BW22&lt;&gt;"",SUMPRODUCT((DV3:DV42=BW22)*(DY3:DY42=BW23)*EB3:EB42)+SUMPRODUCT((DV3:DV42=BW22)*(DY3:DY42=BW20)*EB3:EB42)+SUMPRODUCT((DV3:DV42=BW22)*(DY3:DY42=BW21)*EB3:EB42)+SUMPRODUCT((DV3:DV42=BW23)*(DY3:DY42=BW22)*EC3:EC42)+SUMPRODUCT((DV3:DV42=BW20)*(DY3:DY42=BW22)*EC3:EC42)+SUMPRODUCT((DV3:DV42=BW21)*(DY3:DY42=BW22)*EC3:EC42),"")</f>
        <v/>
      </c>
      <c r="CK22" s="75" t="str">
        <f>IF(BW22&lt;&gt;"",SUMPRODUCT((DV3:DV42=BW22)*(DY3:DY42=BW23)*ED3:ED42)+SUMPRODUCT((DV3:DV42=BW22)*(DY3:DY42=BW20)*ED3:ED42)+SUMPRODUCT((DV3:DV42=BW22)*(DY3:DY42=BW21)*ED3:ED42)+SUMPRODUCT((DV3:DV42=BW23)*(DY3:DY42=BW22)*EE3:EE42)+SUMPRODUCT((DV3:DV42=BW20)*(DY3:DY42=BW22)*EE3:EE42)+SUMPRODUCT((DV3:DV42=BW21)*(DY3:DY42=BW22)*EE3:EE42),"")</f>
        <v/>
      </c>
      <c r="CL22" s="75" t="str">
        <f>IF(BW22&lt;&gt;"",BX22*4+BY22*2+CJ22+CK22,"")</f>
        <v/>
      </c>
      <c r="CM22" s="75" t="str">
        <f>IF(BW22&lt;&gt;"",RANK(CL22,CL20:CL23),"")</f>
        <v/>
      </c>
      <c r="CN22" s="75">
        <f>SUMPRODUCT((CL20:CL23=CL22)*(CC20:CC23&gt;CC22))</f>
        <v>0</v>
      </c>
      <c r="CO22" s="75">
        <f>SUMPRODUCT((CL20:CL23=CL22)*(CC20:CC23=CC22)*(CF20:CF23&gt;CF22))</f>
        <v>0</v>
      </c>
      <c r="CP22" s="75">
        <f>SUMPRODUCT((CL18:CL22=CL22)*(CC18:CC22=CC22)*(CF18:CF22=CF22)*(CG18:CG22&gt;CG22))</f>
        <v>0</v>
      </c>
      <c r="CQ22" s="75">
        <f>SUMPRODUCT((CL18:CL22=CL22)*(CC18:CC22=CC22)*(CF18:CF22=CF22)*(CG18:CG22=CG22)*(CH18:CH22&gt;CH22))</f>
        <v>0</v>
      </c>
      <c r="CR22" s="75">
        <f>SUMPRODUCT((CL18:CL22=CL22)*(CC18:CC22=CC22)*(CF18:CF22=CF22)*(CG18:CG22=CG22)*(CH18:CH22=CH22)*(CI18:CI22&gt;CI22))</f>
        <v>0</v>
      </c>
      <c r="CS22" s="75" t="str">
        <f t="shared" si="129"/>
        <v/>
      </c>
      <c r="CT22" s="75" t="str">
        <f>IF(BW22&lt;&gt;"",INDEX(BW20:BW22,MATCH(5,CS20:CS22,0),0),"")</f>
        <v/>
      </c>
      <c r="CU22" s="75" t="str">
        <f>IF(Y19&lt;&gt;"",Y19,"")</f>
        <v/>
      </c>
      <c r="CV22" s="75">
        <f>SUMPRODUCT((DV3:DV42=CU22)*(DY3:DY42=CU23)*(EF3:EF42="W"))+SUMPRODUCT((DV3:DV42=CU22)*(DY3:DY42=CU24)*(EF3:EF42="W"))+SUMPRODUCT((DV3:DV42=CU22)*(DY3:DY42=CU21)*(EF3:EF42="W"))+SUMPRODUCT((DV3:DV42=CU23)*(DY3:DY42=CU22)*(EG3:EG42="W"))+SUMPRODUCT((DV3:DV42=CU24)*(DY3:DY42=CU22)*(EG3:EG42="W"))+SUMPRODUCT((DV3:DV42=CU21)*(DY3:DY42=CU22)*(EG3:EG42="W"))</f>
        <v>0</v>
      </c>
      <c r="CW22" s="75">
        <f>SUMPRODUCT((DV3:DV42=CU22)*(DY3:DY42=CU23)*(EF3:EF42="D"))+SUMPRODUCT((DV3:DV42=CU22)*(DY3:DY42=CU24)*(EF3:EF42="D"))+SUMPRODUCT((DV3:DV42=CU22)*(DY3:DY42=CU21)*(EF3:EF42="D"))+SUMPRODUCT((DV3:DV42=CU23)*(DY3:DY42=CU22)*(EF3:EF42="D"))+SUMPRODUCT((DV3:DV42=CU24)*(DY3:DY42=CU22)*(EF3:EF42="D"))+SUMPRODUCT((DV3:DV42=CU21)*(DY3:DY42=CU22)*(EF3:EF42="D"))</f>
        <v>0</v>
      </c>
      <c r="CX22" s="75">
        <f>SUMPRODUCT((DV3:DV42=CU22)*(DY3:DY42=CU23)*(EF3:EF42="L"))+SUMPRODUCT((DV3:DV42=CU22)*(DY3:DY42=CU24)*(EF3:EF42="L"))+SUMPRODUCT((DV3:DV42=CU22)*(DY3:DY42=CU21)*(EF3:EF42="L"))+SUMPRODUCT((DV3:DV42=CU23)*(DY3:DY42=CU22)*(EG3:EG42="L"))+SUMPRODUCT((DV3:DV42=CU24)*(DY3:DY42=CU22)*(EG3:EG42="L"))+SUMPRODUCT((DV3:DV42=CU21)*(DY3:DY42=CU22)*(EG3:EG42="L"))</f>
        <v>0</v>
      </c>
      <c r="CY22" s="75">
        <f>IF(CU22&lt;&gt;"",VLOOKUP(CU22,B4:F29,5,FALSE),0)</f>
        <v>0</v>
      </c>
      <c r="CZ22" s="75">
        <f>IF(CU22&lt;&gt;"",VLOOKUP(CU22,B4:G29,6,FALSE),0)</f>
        <v>0</v>
      </c>
      <c r="DA22" s="75">
        <f>CY22-CZ22+1000</f>
        <v>1000</v>
      </c>
      <c r="DB22" s="75">
        <f>IF(CU22&lt;&gt;"",VLOOKUP(CU22,B4:I29,8,FALSE),0)</f>
        <v>0</v>
      </c>
      <c r="DC22" s="75">
        <f>IF(CU22&lt;&gt;"",VLOOKUP(CU22,B4:J29,9,FALSE),0)</f>
        <v>0</v>
      </c>
      <c r="DD22" s="75">
        <f t="shared" ref="DD22" si="138">DB22-DC22+1000</f>
        <v>1000</v>
      </c>
      <c r="DE22" s="75" t="str">
        <f>IF(CU22&lt;&gt;"",VLOOKUP(CU22,B18:F22,5,FALSE),"")</f>
        <v/>
      </c>
      <c r="DF22" s="75" t="str">
        <f>IF(CU22&lt;&gt;"",VLOOKUP(CU22,B18:I22,8,FALSE),"")</f>
        <v/>
      </c>
      <c r="DG22" s="75" t="str">
        <f>IF(CU22&lt;&gt;"",VLOOKUP(CU22,B18:P22,15,FALSE),"")</f>
        <v/>
      </c>
      <c r="DH22" s="75">
        <f>SUMPRODUCT((DV3:DV42=CU22)*(DY3:DY42=CU23)*EB3:EB42)+SUMPRODUCT((DV3:DV42=CU22)*(DY3:DY42=CU24)*EB3:EB42)+SUMPRODUCT((DV3:DV42=CU22)*(DY3:DY42=CU21)*EB3:EB42)+SUMPRODUCT((DV3:DV42=CU23)*(DY3:DY42=CU22)*EC3:EC42)+SUMPRODUCT((DV3:DV42=CU24)*(DY3:DY42=CU22)*EC3:EC42)+SUMPRODUCT((DV3:DV42=CU21)*(DY3:DY42=CU22)*EC3:EC42)</f>
        <v>0</v>
      </c>
      <c r="DI22" s="75">
        <f>SUMPRODUCT((DV3:DV42=CU22)*(DY3:DY42=CU23)*ED3:ED42)+SUMPRODUCT((DV3:DV42=CU22)*(DY3:DY42=CU24)*ED3:ED42)+SUMPRODUCT((DV3:DV42=CU22)*(DY3:DY42=CU21)*ED3:ED42)+SUMPRODUCT((DV3:DV42=CU23)*(DY3:DY42=CU22)*EE3:EE42)+SUMPRODUCT((DV3:DV42=CU24)*(DY3:DY42=CU22)*EE3:EE42)+SUMPRODUCT((DV3:DV42=CU21)*(DY3:DY42=CU22)*EE3:EE42)</f>
        <v>0</v>
      </c>
      <c r="DJ22" s="75">
        <f t="shared" ref="DJ22" si="139">CV22*4+CW22*2+DH22+DI22</f>
        <v>0</v>
      </c>
      <c r="DK22" s="75" t="str">
        <f>IF(CU22&lt;&gt;"",RANK(DJ22,DJ21:DJ24),"")</f>
        <v/>
      </c>
      <c r="DL22" s="75">
        <f>SUMPRODUCT((DJ21:DJ24=DJ22)*(DA21:DA24&gt;DA22))</f>
        <v>0</v>
      </c>
      <c r="DM22" s="75">
        <f>SUMPRODUCT((DJ21:DJ24=DJ22)*(DA21:DA24=DA22)*(DD21:DD24&gt;DD22))</f>
        <v>0</v>
      </c>
      <c r="DN22" s="75">
        <f>SUMPRODUCT((DJ18:DJ22=DJ22)*(DA18:DA22=DA22)*(DD18:DD22=DD22)*(DE18:DE22&gt;DE22))</f>
        <v>0</v>
      </c>
      <c r="DO22" s="75">
        <f>SUMPRODUCT((DJ18:DJ22=DJ22)*(DA18:DA22=DA22)*(DD18:DD22=DD22)*(DE18:DE22=DE22)*(DF18:DF22&gt;DF22))</f>
        <v>0</v>
      </c>
      <c r="DP22" s="75">
        <f>SUMPRODUCT((DJ18:DJ22=DJ22)*(DA18:DA22=DA22)*(DD18:DD22=DD22)*(DE18:DE22=DE22)*(DF18:DF22=DF22)*(DG18:DG22&gt;DG22))</f>
        <v>0</v>
      </c>
      <c r="DQ22" s="75" t="str">
        <f t="shared" si="134"/>
        <v/>
      </c>
      <c r="DR22" s="75" t="str">
        <f>IF(CU21&lt;&gt;"",IF(CU21=DR21,CU22,CU21),"")</f>
        <v/>
      </c>
      <c r="DS22" s="75" t="str">
        <f>IF(DR22&lt;&gt;"",DR22,IF(CT22&lt;&gt;"",CT22,IF(BV22&lt;&gt;"",BV22,IF(AX22&lt;&gt;"",AX22,T22))))</f>
        <v>New Zealand</v>
      </c>
      <c r="DT22" s="75">
        <v>5</v>
      </c>
      <c r="DU22" s="75">
        <v>20</v>
      </c>
      <c r="DV22" s="75" t="str">
        <f>Tournament!H32</f>
        <v>Tonga</v>
      </c>
      <c r="DW22" s="75">
        <f>IF(AND(Tournament!J32&lt;&gt;"",Tournament!L32&lt;&gt;""),Tournament!J32,0)</f>
        <v>0</v>
      </c>
      <c r="DX22" s="75">
        <f>IF(AND(Tournament!L32&lt;&gt;"",Tournament!J32&lt;&gt;""),Tournament!L32,0)</f>
        <v>0</v>
      </c>
      <c r="DY22" s="75" t="str">
        <f>Tournament!N32</f>
        <v>Namibia</v>
      </c>
      <c r="DZ22" s="75">
        <f>IF(Tournament!O32&lt;&gt;"",Tournament!O32,0)</f>
        <v>0</v>
      </c>
      <c r="EA22" s="75">
        <f>IF(Tournament!Q32&lt;&gt;"",Tournament!Q32,0)</f>
        <v>0</v>
      </c>
      <c r="EB22" s="75">
        <f>IF(DW22&lt;&gt;"",IF(Tournament!O32&gt;3,1,0),0)</f>
        <v>1</v>
      </c>
      <c r="EC22" s="75">
        <f>IF(DX22&lt;&gt;"",IF(Tournament!Q32&gt;3,1,0),0)</f>
        <v>1</v>
      </c>
      <c r="ED22" s="75">
        <f t="shared" si="1"/>
        <v>0</v>
      </c>
      <c r="EE22" s="75">
        <f t="shared" si="2"/>
        <v>0</v>
      </c>
      <c r="EF22" s="75" t="str">
        <f>IF(AND(Tournament!J32&lt;&gt;"",Tournament!L32&lt;&gt;""),IF(DW22&gt;DX22,"W",IF(DW22=DX22,"D","L")),"")</f>
        <v/>
      </c>
      <c r="EG22" s="75" t="str">
        <f t="shared" si="3"/>
        <v/>
      </c>
      <c r="EH22" s="75">
        <f ca="1">VLOOKUP(EI22,IZ18:JA22,2,FALSE)</f>
        <v>1</v>
      </c>
      <c r="EI22" s="75" t="s">
        <v>49</v>
      </c>
      <c r="EJ22" s="75">
        <f t="shared" ca="1" si="102"/>
        <v>0</v>
      </c>
      <c r="EK22" s="75">
        <f t="shared" ca="1" si="103"/>
        <v>0</v>
      </c>
      <c r="EL22" s="75">
        <f t="shared" ca="1" si="104"/>
        <v>0</v>
      </c>
      <c r="EM22" s="75">
        <f t="shared" ca="1" si="105"/>
        <v>0</v>
      </c>
      <c r="EN22" s="75">
        <f t="shared" ca="1" si="118"/>
        <v>0</v>
      </c>
      <c r="EO22" s="75">
        <f t="shared" ca="1" si="106"/>
        <v>1000</v>
      </c>
      <c r="EP22" s="75">
        <f t="shared" ca="1" si="119"/>
        <v>0</v>
      </c>
      <c r="EQ22" s="75">
        <f t="shared" ca="1" si="120"/>
        <v>0</v>
      </c>
      <c r="ER22" s="75">
        <f t="shared" ca="1" si="107"/>
        <v>1000</v>
      </c>
      <c r="ES22" s="75">
        <f t="shared" ca="1" si="108"/>
        <v>0</v>
      </c>
      <c r="ET22" s="75">
        <f ca="1">SUMIF(JC:JC,EI22,JI:JI)+SUMIF(JF:JF,EI22,JJ:JJ)</f>
        <v>0</v>
      </c>
      <c r="EU22" s="75">
        <f ca="1">SUMIF(JC:JC,EI22,JK:JK)+SUMIF(JF:JF,EI22,JL:JL)</f>
        <v>0</v>
      </c>
      <c r="EV22" s="75">
        <f t="shared" ca="1" si="109"/>
        <v>0</v>
      </c>
      <c r="EW22" s="75">
        <v>21</v>
      </c>
      <c r="EX22" s="75">
        <f t="shared" ca="1" si="121"/>
        <v>1</v>
      </c>
      <c r="EZ22" s="75">
        <f ca="1">RANK(EV22,EV$18:EV$22)+COUNTIF(EV$18:EV22,EV22)-1</f>
        <v>5</v>
      </c>
      <c r="FA22" s="75" t="str">
        <f ca="1">INDEX(EI$18:EI$22,MATCH(5,EZ$18:EZ$22,0),0)</f>
        <v>Namibia</v>
      </c>
      <c r="FB22" s="75">
        <f t="shared" ca="1" si="122"/>
        <v>1</v>
      </c>
      <c r="FC22" s="75" t="str">
        <f ca="1">IF(AND(FC21&lt;&gt;"",FB22=1),FA22,"")</f>
        <v>Namibia</v>
      </c>
      <c r="FH22" s="75" t="str">
        <f t="shared" ca="1" si="123"/>
        <v>Namibia</v>
      </c>
      <c r="FI22" s="75">
        <f ca="1">SUMPRODUCT((JC3:JC42=FH22)*(JF3:JF42=FH18)*(JM3:JM42="W"))+SUMPRODUCT((JC3:JC42=FH22)*(JF3:JF42=FH19)*(JM3:JM42="W"))+SUMPRODUCT((JC3:JC42=FH22)*(JF3:JF42=FH20)*(JM3:JM42="W"))+SUMPRODUCT((JC3:JC42=FH22)*(JF3:JF42=FH21)*(JM3:JM42="W"))+SUMPRODUCT((JC3:JC42=FH18)*(JF3:JF42=FH22)*(JN3:JN42="W"))+SUMPRODUCT((JC3:JC42=FH19)*(JF3:JF42=FH22)*(JN3:JN42="W"))+SUMPRODUCT((JC3:JC42=FH20)*(JF3:JF42=FH22)*(JN3:JN42="W"))+SUMPRODUCT((JC3:JC42=FH21)*(JF3:JF42=FH22)*(JN3:JN42="W"))</f>
        <v>0</v>
      </c>
      <c r="FJ22" s="75">
        <f ca="1">SUMPRODUCT((JC3:JC42=FH22)*(JF3:JF42=FH18)*(JM3:JM42="D"))+SUMPRODUCT((JC3:JC42=FH22)*(JF3:JF42=FH19)*(JM3:JM42="D"))+SUMPRODUCT((JC3:JC42=FH22)*(JF3:JF42=FH20)*(JM3:JM42="D"))+SUMPRODUCT((JC3:JC42=FH22)*(JF3:JF42=FH21)*(JM3:JM42="D"))+SUMPRODUCT((JC3:JC42=FH18)*(JF3:JF42=FH22)*(JM3:JM42="D"))+SUMPRODUCT((JC3:JC42=FH19)*(JF3:JF42=FH22)*(JM3:JM42="D"))+SUMPRODUCT((JC3:JC42=FH20)*(JF3:JF42=FH22)*(JM3:JM42="D"))+SUMPRODUCT((JC3:JC42=FH21)*(JF3:JF42=FH22)*(JM3:JM42="D"))</f>
        <v>0</v>
      </c>
      <c r="FK22" s="75">
        <f ca="1">SUMPRODUCT((JC3:JC42=FH22)*(JF3:JF42=FH18)*(JM3:JM42="L"))+SUMPRODUCT((JC3:JC42=FH22)*(JF3:JF42=FH19)*(JM3:JM42="L"))+SUMPRODUCT((JC3:JC42=FH22)*(JF3:JF42=FH20)*(JM3:JM42="L"))+SUMPRODUCT((JC3:JC42=FH22)*(JF3:JF42=FH21)*(JM3:JM42="L"))+SUMPRODUCT((JC3:JC42=FH18)*(JF3:JF42=FH22)*(JN3:JN42="L"))+SUMPRODUCT((JC3:JC42=FH19)*(JF3:JF42=FH22)*(JN3:JN42="L"))+SUMPRODUCT((JC3:JC42=FH20)*(JF3:JF42=FH22)*(JN3:JN42="L"))+SUMPRODUCT((JC3:JC42=FH21)*(JF3:JF42=FH22)*(JN3:JN42="L"))</f>
        <v>0</v>
      </c>
      <c r="FL22" s="75">
        <f ca="1">IF(FH22&lt;&gt;"",VLOOKUP(FH22,EI4:EM29,5,FALSE),0)</f>
        <v>0</v>
      </c>
      <c r="FM22" s="75">
        <f ca="1">IF(FH22&lt;&gt;"",VLOOKUP(FH22,EI4:EN29,6,FALSE),0)</f>
        <v>0</v>
      </c>
      <c r="FN22" s="75">
        <f ca="1">FL22-FM22+1000</f>
        <v>1000</v>
      </c>
      <c r="FO22" s="75">
        <f ca="1">IF(FH22&lt;&gt;"",VLOOKUP(FH22,EI4:EP29,8,FALSE),0)</f>
        <v>0</v>
      </c>
      <c r="FP22" s="75">
        <f ca="1">IF(FH22&lt;&gt;"",VLOOKUP(FH22,EI4:EQ29,9,FALSE),0)</f>
        <v>0</v>
      </c>
      <c r="FQ22" s="75">
        <f ca="1">IF(FH22&lt;&gt;"",FO22-FP22+1000,"")</f>
        <v>1000</v>
      </c>
      <c r="FR22" s="75">
        <f ca="1">IF(FH22&lt;&gt;"",VLOOKUP(FH22,EI18:EM22,5,FALSE),"")</f>
        <v>0</v>
      </c>
      <c r="FS22" s="75">
        <f ca="1">IF(FH22&lt;&gt;"",VLOOKUP(FH22,EI18:EP22,8,FALSE),"")</f>
        <v>0</v>
      </c>
      <c r="FT22" s="75">
        <f ca="1">IF(FH22&lt;&gt;"",VLOOKUP(FH22,EI18:EW22,15,FALSE),"")</f>
        <v>21</v>
      </c>
      <c r="FU22" s="75">
        <f ca="1">SUMPRODUCT((JC3:JC42=FH22)*(JF3:JF42=FH18)*JI3:JI42)+SUMPRODUCT((JC3:JC42=FH22)*(JF3:JF42=FH19)*JI3:JI42)+SUMPRODUCT((JC3:JC42=FH22)*(JF3:JF42=FH20)*JI3:JI42)+SUMPRODUCT((JC3:JC42=FH22)*(JF3:JF42=FH21)*JI3:JI42)+SUMPRODUCT((JC3:JC42=FH18)*(JF3:JF42=FH22)*JJ3:JJ42)+SUMPRODUCT((JC3:JC42=FH19)*(JF3:JF42=FH22)*JJ3:JJ42)+SUMPRODUCT((JC3:JC42=FH20)*(JF3:JF42=FH22)*JJ3:JJ42)+SUMPRODUCT((JC3:JC42=FH21)*(JF3:JF42=FH22)*JJ3:JJ42)</f>
        <v>0</v>
      </c>
      <c r="FV22" s="75">
        <f ca="1">SUMPRODUCT((JC3:JC42=FH22)*(JF3:JF42=FH18)*JK3:JK42)+SUMPRODUCT((JC3:JC42=FH22)*(JF3:JF42=FH19)*JK3:JK42)+SUMPRODUCT((JC3:JC42=FH22)*(JF3:JF42=FH20)*JK3:JK42)+SUMPRODUCT((JC3:JC42=FH22)*(JF3:JF42=FH21)*JK3:JK42)+SUMPRODUCT((JC3:JC42=FH18)*(JF3:JF42=FH22)*JL3:JL42)+SUMPRODUCT((JC3:JC42=FH19)*(JF3:JF42=FH22)*JL3:JL42)+SUMPRODUCT((JC3:JC42=FH20)*(JF3:JF42=FH22)*JL3:JL42)+SUMPRODUCT((JC3:JC42=FH21)*(JF3:JF42=FH22)*JL3:JL42)</f>
        <v>0</v>
      </c>
      <c r="FW22" s="75">
        <f ca="1">IF(FH22&lt;&gt;"",FI22*4+FJ22*2+FU22+FV22,"")</f>
        <v>0</v>
      </c>
      <c r="FX22" s="75">
        <f ca="1">IF(FH22&lt;&gt;"",RANK(FW22,FW18:FW22),"")</f>
        <v>1</v>
      </c>
      <c r="FY22" s="75">
        <f ca="1">SUMPRODUCT((FW18:FW22=FW22)*(FN18:FN22&gt;FN22))</f>
        <v>0</v>
      </c>
      <c r="FZ22" s="75">
        <f ca="1">SUMPRODUCT((FW18:FW22=FW22)*(FN18:FN22=FN22)*(FQ18:FQ22&gt;FQ22))</f>
        <v>0</v>
      </c>
      <c r="GA22" s="75">
        <f ca="1">SUMPRODUCT((FW18:FW22=FW22)*(FN18:FN22=FN22)*(FQ18:FQ22=FQ22)*(FR18:FR22&gt;FR22))</f>
        <v>0</v>
      </c>
      <c r="GB22" s="75">
        <f ca="1">SUMPRODUCT((FW18:FW22=FW22)*(FN18:FN22=FN22)*(FQ18:FQ22=FQ22)*(FR18:FR22=FR22)*(FS18:FS22&gt;FS22))</f>
        <v>0</v>
      </c>
      <c r="GC22" s="75">
        <f ca="1">SUMPRODUCT((FW18:FW22=FW22)*(FN18:FN22=FN22)*(FQ18:FQ22=FQ22)*(FR18:FR22=FR22)*(FS18:FS22=FS22)*(FT18:FT22&gt;FT22))</f>
        <v>0</v>
      </c>
      <c r="GD22" s="75">
        <f t="shared" ca="1" si="126"/>
        <v>1</v>
      </c>
      <c r="GE22" s="75" t="str">
        <f ca="1">IF(FH22&lt;&gt;"",INDEX(FH18:FH22,MATCH(5,GD18:GD22,0),0),"")</f>
        <v>New Zealand</v>
      </c>
      <c r="GF22" s="75" t="str">
        <f ca="1">IF(FD21&lt;&gt;"",FD21,"")</f>
        <v/>
      </c>
      <c r="GG22" s="75" t="str">
        <f ca="1">IF(GF22&lt;&gt;"",SUMPRODUCT((JC3:JC42=GF22)*(JF3:JF42=GF19)*(JM3:JM42="W"))+SUMPRODUCT((JC3:JC42=GF22)*(JF3:JF42=GF20)*(JM3:JM42="W"))+SUMPRODUCT((JC3:JC42=GF22)*(JF3:JF42=GF21)*(JM3:JM42="W"))+SUMPRODUCT((JC3:JC42=GF19)*(JF3:JF42=GF22)*(JM3:JM42="W"))+SUMPRODUCT((JC3:JC42=GF20)*(JF3:JF42=GF22)*(JM3:JM42="W"))+SUMPRODUCT((JC3:JC42=GF21)*(JF3:JF42=GF22)*(JM3:JM42="W")),"")</f>
        <v/>
      </c>
      <c r="GH22" s="75" t="str">
        <f ca="1">IF(GF22&lt;&gt;"",SUMPRODUCT((JC3:JC42=GF22)*(JF3:JF42=GF19)*(JM3:JM42="D"))+SUMPRODUCT((JC3:JC42=GF22)*(JF3:JF42=GF20)*(JM3:JM42="D"))+SUMPRODUCT((JC3:JC42=GF22)*(JF3:JF42=GF21)*(JM3:JM42="D"))+SUMPRODUCT((JC3:JC42=GF19)*(JF3:JF42=GF22)*(JM3:JM42="D"))+SUMPRODUCT((JC3:JC42=GF20)*(JF3:JF42=GF22)*(JM3:JM42="D"))+SUMPRODUCT((JC3:JC42=GF21)*(JF3:JF42=GF22)*(JM3:JM42="D")),"")</f>
        <v/>
      </c>
      <c r="GI22" s="75" t="str">
        <f ca="1">IF(GF22&lt;&gt;"",SUMPRODUCT((JC3:JC42=GF22)*(JF3:JF42=GF19)*(JM3:JM42="L"))+SUMPRODUCT((JC3:JC42=GF22)*(JF3:JF42=GF20)*(JM3:JM42="L"))+SUMPRODUCT((JC3:JC42=GF22)*(JF3:JF42=GF21)*(JM3:JM42="L"))+SUMPRODUCT((JC3:JC42=GF19)*(JF3:JF42=GF22)*(JM3:JM42="L"))+SUMPRODUCT((JC3:JC42=GF20)*(JF3:JF42=GF22)*(JM3:JM42="L"))+SUMPRODUCT((JC3:JC42=GF21)*(JF3:JF42=GF22)*(JM3:JM42="L")),"")</f>
        <v/>
      </c>
      <c r="GJ22" s="75">
        <f ca="1">IF(GF22&lt;&gt;"",VLOOKUP(GF22,EI4:EM29,5,FALSE),0)</f>
        <v>0</v>
      </c>
      <c r="GK22" s="75">
        <f ca="1">IF(GF22&lt;&gt;"",VLOOKUP(GF22,EI4:EN29,6,FALSE),0)</f>
        <v>0</v>
      </c>
      <c r="GL22" s="75">
        <f ca="1">GJ22-GK22+1000</f>
        <v>1000</v>
      </c>
      <c r="GM22" s="75">
        <f ca="1">IF(GF22&lt;&gt;"",VLOOKUP(GF22,EI4:EP29,8,FALSE),0)</f>
        <v>0</v>
      </c>
      <c r="GN22" s="75">
        <f ca="1">IF(GF22&lt;&gt;"",VLOOKUP(GF22,EI4:EQ29,9,FALSE),0)</f>
        <v>0</v>
      </c>
      <c r="GO22" s="75" t="str">
        <f ca="1">IF(GF22&lt;&gt;"",GM22-GN22+1000,"")</f>
        <v/>
      </c>
      <c r="GP22" s="75" t="str">
        <f ca="1">IF(GF22&lt;&gt;"",VLOOKUP(GF22,EI18:EM22,5,FALSE),"")</f>
        <v/>
      </c>
      <c r="GQ22" s="75" t="str">
        <f ca="1">IF(GF22&lt;&gt;"",VLOOKUP(GF22,EI18:EP22,8,FALSE),"")</f>
        <v/>
      </c>
      <c r="GR22" s="75" t="str">
        <f ca="1">IF(GF22&lt;&gt;"",VLOOKUP(GF22,EI18:EW22,15,FALSE),"")</f>
        <v/>
      </c>
      <c r="GS22" s="75" t="str">
        <f ca="1">IF(GF22&lt;&gt;"",SUMPRODUCT((JC3:JC42=GF22)*(JF3:JF42=GF19)*JI3:JI42)+SUMPRODUCT((JC3:JC42=GF22)*(JF3:JF42=GF20)*JI3:JI42)+SUMPRODUCT((JC3:JC42=GF22)*(JF3:JF42=GF21)*JI3:JI42)+SUMPRODUCT((JC3:JC42=GF19)*(JF3:JF42=GF22)*JJ3:JJ42)+SUMPRODUCT((JC3:JC42=GF20)*(JF3:JF42=GF22)*JJ3:JJ42)+SUMPRODUCT((JC3:JC42=GF21)*(JF3:JF42=GF22)*JJ3:JJ42),"")</f>
        <v/>
      </c>
      <c r="GT22" s="75" t="str">
        <f ca="1">IF(GF22&lt;&gt;"",SUMPRODUCT((JC3:JC42=GF22)*(JF3:JF42=GF19)*JK3:JK42)+SUMPRODUCT((JC3:JC42=GF22)*(JF3:JF42=GF20)*JK3:JK42)+SUMPRODUCT((JC3:JC42=GF22)*(JF3:JF42=GF21)*JK3:JK42)+SUMPRODUCT((JC3:JC42=GF19)*(JF3:JF42=GF22)*JL3:JL42)+SUMPRODUCT((JC3:JC42=GF20)*(JF3:JF42=GF22)*JL3:JL42)+SUMPRODUCT((JC3:JC42=GF21)*(JF3:JF42=GF22)*JL3:JL42),"")</f>
        <v/>
      </c>
      <c r="GU22" s="75" t="str">
        <f ca="1">IF(GF22&lt;&gt;"",GG22*4+GH22*2+GS22+GT22,"")</f>
        <v/>
      </c>
      <c r="GV22" s="75" t="str">
        <f ca="1">IF(GF22&lt;&gt;"",RANK(GU22,GU19:GU22),"")</f>
        <v/>
      </c>
      <c r="GW22" s="75">
        <f ca="1">SUMPRODUCT((GU19:GU22=GU22)*(GL19:GL22&gt;GL22))</f>
        <v>0</v>
      </c>
      <c r="GX22" s="75">
        <f ca="1">SUMPRODUCT((GU19:GU22=GU22)*(GL19:GL22=GL22)*(GO19:GO22&gt;GO22))</f>
        <v>0</v>
      </c>
      <c r="GY22" s="75">
        <f ca="1">SUMPRODUCT((GU18:GU22=GU22)*(GL18:GL22=GL22)*(GO18:GO22=GO22)*(GP18:GP22&gt;GP22))</f>
        <v>0</v>
      </c>
      <c r="GZ22" s="75">
        <f ca="1">SUMPRODUCT((GU18:GU22=GU22)*(GL18:GL22=GL22)*(GO18:GO22=GO22)*(GP18:GP22=GP22)*(GQ18:GQ22&gt;GQ22))</f>
        <v>0</v>
      </c>
      <c r="HA22" s="75">
        <f ca="1">SUMPRODUCT((GU18:GU22=GU22)*(GL18:GL22=GL22)*(GO18:GO22=GO22)*(GP18:GP22=GP22)*(GQ18:GQ22=GQ22)*(GR18:GR22&gt;GR22))</f>
        <v>0</v>
      </c>
      <c r="HB22" s="75" t="str">
        <f t="shared" ca="1" si="127"/>
        <v/>
      </c>
      <c r="HC22" s="75" t="str">
        <f ca="1">IF(GF22&lt;&gt;"",INDEX(GF19:GF22,MATCH(5,HB19:HB22,0),0),"")</f>
        <v/>
      </c>
      <c r="HD22" s="75" t="str">
        <f ca="1">IF(FE20&lt;&gt;"",FE20,"")</f>
        <v/>
      </c>
      <c r="HE22" s="75" t="str">
        <f ca="1">IF(HD22&lt;&gt;"",SUMPRODUCT((JC3:JC42=HD22)*(JF3:JF42=HD23)*(JM3:JM42="W"))+SUMPRODUCT((JC3:JC42=HD22)*(JF3:JF42=HD20)*(JM3:JM42="W"))+SUMPRODUCT((JC3:JC42=HD22)*(JF3:JF42=HD21)*(JM3:JM42="W"))+SUMPRODUCT((JC3:JC42=HD23)*(JF3:JF42=HD22)*(JN3:JN42="W"))+SUMPRODUCT((JC3:JC42=HD20)*(JF3:JF42=HD22)*(JN3:JN42="W"))+SUMPRODUCT((JC3:JC42=HD21)*(JF3:JF42=HD22)*(JN3:JN42="W")),"")</f>
        <v/>
      </c>
      <c r="HF22" s="75" t="str">
        <f ca="1">IF(HD22&lt;&gt;"",SUMPRODUCT((JC3:JC42=HD22)*(JF3:JF42=HD23)*(JM3:JM42="D"))+SUMPRODUCT((JC3:JC42=HD22)*(JF3:JF42=HD20)*(JM3:JM42="D"))+SUMPRODUCT((JC3:JC42=HD22)*(JF3:JF42=HD21)*(JM3:JM42="D"))+SUMPRODUCT((JC3:JC42=HD23)*(JF3:JF42=HD22)*(JM3:JM42="D"))+SUMPRODUCT((JC3:JC42=HD20)*(JF3:JF42=HD22)*(JM3:JM42="D"))+SUMPRODUCT((JC3:JC42=HD21)*(JF3:JF42=HD22)*(JM3:JM42="D")),"")</f>
        <v/>
      </c>
      <c r="HG22" s="75" t="str">
        <f ca="1">IF(HD22&lt;&gt;"",SUMPRODUCT((JC3:JC42=HD22)*(JF3:JF42=HD23)*(JM3:JM42="L"))+SUMPRODUCT((JC3:JC42=HD22)*(JF3:JF42=HD20)*(JM3:JM42="L"))+SUMPRODUCT((JC3:JC42=HD22)*(JF3:JF42=HD21)*(JM3:JM42="L"))+SUMPRODUCT((JC3:JC42=HD23)*(JF3:JF42=HD22)*(JN3:JN42="L"))+SUMPRODUCT((JC3:JC42=HD20)*(JF3:JF42=HD22)*(JN3:JN42="L"))+SUMPRODUCT((JC3:JC42=HD21)*(JF3:JF42=HD22)*(JN3:JN42="L")),"")</f>
        <v/>
      </c>
      <c r="HH22" s="75">
        <f ca="1">IF(HD22&lt;&gt;"",VLOOKUP(HD22,EI4:EM29,5,FALSE),0)</f>
        <v>0</v>
      </c>
      <c r="HI22" s="75">
        <f ca="1">IF(HD22&lt;&gt;"",VLOOKUP(HD22,EI4:EN29,6,FALSE),0)</f>
        <v>0</v>
      </c>
      <c r="HJ22" s="75">
        <f ca="1">HH22-HI22+1000</f>
        <v>1000</v>
      </c>
      <c r="HK22" s="75">
        <f ca="1">IF(HD22&lt;&gt;"",VLOOKUP(HD22,EI4:EP29,8,FALSE),0)</f>
        <v>0</v>
      </c>
      <c r="HL22" s="75">
        <f ca="1">IF(HD22&lt;&gt;"",VLOOKUP(HD22,EI4:EQ29,9,FALSE),0)</f>
        <v>0</v>
      </c>
      <c r="HM22" s="75" t="str">
        <f ca="1">IF(HD22&lt;&gt;"",HK22-HL22+1000,"")</f>
        <v/>
      </c>
      <c r="HN22" s="75" t="str">
        <f ca="1">IF(HD22&lt;&gt;"",VLOOKUP(HD22,EI18:EM22,5,FALSE),"")</f>
        <v/>
      </c>
      <c r="HO22" s="75" t="str">
        <f ca="1">IF(HD22&lt;&gt;"",VLOOKUP(HD22,EI18:EP22,8,FALSE),"")</f>
        <v/>
      </c>
      <c r="HP22" s="75" t="str">
        <f ca="1">IF(HD22&lt;&gt;"",VLOOKUP(HD22,EI18:EW22,15,FALSE),"")</f>
        <v/>
      </c>
      <c r="HQ22" s="75" t="str">
        <f ca="1">IF(HD22&lt;&gt;"",SUMPRODUCT((JC3:JC42=HD22)*(JF3:JF42=HD23)*JI3:JI42)+SUMPRODUCT((JC3:JC42=HD22)*(JF3:JF42=HD20)*JI3:JI42)+SUMPRODUCT((JC3:JC42=HD22)*(JF3:JF42=HD21)*JI3:JI42)+SUMPRODUCT((JC3:JC42=HD23)*(JF3:JF42=HD22)*JJ3:JJ42)+SUMPRODUCT((JC3:JC42=HD20)*(JF3:JF42=HD22)*JJ3:JJ42)+SUMPRODUCT((JC3:JC42=HD21)*(JF3:JF42=HD22)*JJ3:JJ42),"")</f>
        <v/>
      </c>
      <c r="HR22" s="75" t="str">
        <f ca="1">IF(HD22&lt;&gt;"",SUMPRODUCT((JC3:JC42=HD22)*(JF3:JF42=HD23)*JK3:JK42)+SUMPRODUCT((JC3:JC42=HD22)*(JF3:JF42=HD20)*JK3:JK42)+SUMPRODUCT((JC3:JC42=HD22)*(JF3:JF42=HD21)*JK3:JK42)+SUMPRODUCT((JC3:JC42=HD23)*(JF3:JF42=HD22)*JL3:JL42)+SUMPRODUCT((JC3:JC42=HD20)*(JF3:JF42=HD22)*JL3:JL42)+SUMPRODUCT((JC3:JC42=HD21)*(JF3:JF42=HD22)*JL3:JL42),"")</f>
        <v/>
      </c>
      <c r="HS22" s="75" t="str">
        <f ca="1">IF(HD22&lt;&gt;"",HE22*4+HF22*2+HQ22+HR22,"")</f>
        <v/>
      </c>
      <c r="HT22" s="75" t="str">
        <f ca="1">IF(HD22&lt;&gt;"",RANK(HS22,HS20:HS23),"")</f>
        <v/>
      </c>
      <c r="HU22" s="75">
        <f ca="1">SUMPRODUCT((HS20:HS23=HS22)*(HJ20:HJ23&gt;HJ22))</f>
        <v>0</v>
      </c>
      <c r="HV22" s="75">
        <f ca="1">SUMPRODUCT((HS20:HS23=HS22)*(HJ20:HJ23=HJ22)*(HM20:HM23&gt;HM22))</f>
        <v>0</v>
      </c>
      <c r="HW22" s="75">
        <f ca="1">SUMPRODUCT((HS18:HS22=HS22)*(HJ18:HJ22=HJ22)*(HM18:HM22=HM22)*(HN18:HN22&gt;HN22))</f>
        <v>0</v>
      </c>
      <c r="HX22" s="75">
        <f ca="1">SUMPRODUCT((HS18:HS22=HS22)*(HJ18:HJ22=HJ22)*(HM18:HM22=HM22)*(HN18:HN22=HN22)*(HO18:HO22&gt;HO22))</f>
        <v>0</v>
      </c>
      <c r="HY22" s="75">
        <f ca="1">SUMPRODUCT((HS18:HS22=HS22)*(HJ18:HJ22=HJ22)*(HM18:HM22=HM22)*(HN18:HN22=HN22)*(HO18:HO22=HO22)*(HP18:HP22&gt;HP22))</f>
        <v>0</v>
      </c>
      <c r="HZ22" s="75" t="str">
        <f t="shared" ca="1" si="131"/>
        <v/>
      </c>
      <c r="IA22" s="75" t="str">
        <f ca="1">IF(HD22&lt;&gt;"",INDEX(HD20:HD22,MATCH(5,HZ20:HZ22,0),0),"")</f>
        <v/>
      </c>
      <c r="IB22" s="75" t="str">
        <f ca="1">IF(FF19&lt;&gt;"",FF19,"")</f>
        <v/>
      </c>
      <c r="IC22" s="75">
        <f ca="1">SUMPRODUCT((JC3:JC42=IB22)*(JF3:JF42=IB23)*(JM3:JM42="W"))+SUMPRODUCT((JC3:JC42=IB22)*(JF3:JF42=IB24)*(JM3:JM42="W"))+SUMPRODUCT((JC3:JC42=IB22)*(JF3:JF42=IB21)*(JM3:JM42="W"))+SUMPRODUCT((JC3:JC42=IB23)*(JF3:JF42=IB22)*(JN3:JN42="W"))+SUMPRODUCT((JC3:JC42=IB24)*(JF3:JF42=IB22)*(JN3:JN42="W"))+SUMPRODUCT((JC3:JC42=IB21)*(JF3:JF42=IB22)*(JN3:JN42="W"))</f>
        <v>0</v>
      </c>
      <c r="ID22" s="75">
        <f ca="1">SUMPRODUCT((JC3:JC42=IB22)*(JF3:JF42=IB23)*(JM3:JM42="D"))+SUMPRODUCT((JC3:JC42=IB22)*(JF3:JF42=IB24)*(JM3:JM42="D"))+SUMPRODUCT((JC3:JC42=IB22)*(JF3:JF42=IB21)*(JM3:JM42="D"))+SUMPRODUCT((JC3:JC42=IB23)*(JF3:JF42=IB22)*(JM3:JM42="D"))+SUMPRODUCT((JC3:JC42=IB24)*(JF3:JF42=IB22)*(JM3:JM42="D"))+SUMPRODUCT((JC3:JC42=IB21)*(JF3:JF42=IB22)*(JM3:JM42="D"))</f>
        <v>0</v>
      </c>
      <c r="IE22" s="75">
        <f ca="1">SUMPRODUCT((JC3:JC42=IB22)*(JF3:JF42=IB23)*(JM3:JM42="L"))+SUMPRODUCT((JC3:JC42=IB22)*(JF3:JF42=IB24)*(JM3:JM42="L"))+SUMPRODUCT((JC3:JC42=IB22)*(JF3:JF42=IB21)*(JM3:JM42="L"))+SUMPRODUCT((JC3:JC42=IB23)*(JF3:JF42=IB22)*(JN3:JN42="L"))+SUMPRODUCT((JC3:JC42=IB24)*(JF3:JF42=IB22)*(JN3:JN42="L"))+SUMPRODUCT((JC3:JC42=IB21)*(JF3:JF42=IB22)*(JN3:JN42="L"))</f>
        <v>0</v>
      </c>
      <c r="IF22" s="75">
        <f ca="1">IF(IB22&lt;&gt;"",VLOOKUP(IB22,EI4:EM29,5,FALSE),0)</f>
        <v>0</v>
      </c>
      <c r="IG22" s="75">
        <f ca="1">IF(IB22&lt;&gt;"",VLOOKUP(IB22,EI4:EN29,6,FALSE),0)</f>
        <v>0</v>
      </c>
      <c r="IH22" s="75">
        <f ca="1">IF22-IG22+1000</f>
        <v>1000</v>
      </c>
      <c r="II22" s="75">
        <f ca="1">IF(IB22&lt;&gt;"",VLOOKUP(IB22,EI4:EP29,8,FALSE),0)</f>
        <v>0</v>
      </c>
      <c r="IJ22" s="75">
        <f ca="1">IF(IB22&lt;&gt;"",VLOOKUP(IB22,EI4:EQ29,9,FALSE),0)</f>
        <v>0</v>
      </c>
      <c r="IK22" s="75">
        <f t="shared" ref="IK22" ca="1" si="140">II22-IJ22+1000</f>
        <v>1000</v>
      </c>
      <c r="IL22" s="75" t="str">
        <f ca="1">IF(IB22&lt;&gt;"",VLOOKUP(IB22,EI18:EM22,5,FALSE),"")</f>
        <v/>
      </c>
      <c r="IM22" s="75" t="str">
        <f ca="1">IF(IB22&lt;&gt;"",VLOOKUP(IB22,EI18:EP22,8,FALSE),"")</f>
        <v/>
      </c>
      <c r="IN22" s="75" t="str">
        <f ca="1">IF(IB22&lt;&gt;"",VLOOKUP(IB22,EI18:EW22,15,FALSE),"")</f>
        <v/>
      </c>
      <c r="IO22" s="75">
        <f ca="1">SUMPRODUCT((JC3:JC42=IB22)*(JF3:JF42=IB23)*JI3:JI42)+SUMPRODUCT((JC3:JC42=IB22)*(JF3:JF42=IB24)*JI3:JI42)+SUMPRODUCT((JC3:JC42=IB22)*(JF3:JF42=IB21)*JI3:JI42)+SUMPRODUCT((JC3:JC42=IB23)*(JF3:JF42=IB22)*JJ3:JJ42)+SUMPRODUCT((JC3:JC42=IB24)*(JF3:JF42=IB22)*JJ3:JJ42)+SUMPRODUCT((JC3:JC42=IB21)*(JF3:JF42=IB22)*JJ3:JJ42)</f>
        <v>0</v>
      </c>
      <c r="IP22" s="75">
        <f ca="1">SUMPRODUCT((JC3:JC42=IB22)*(JF3:JF42=IB23)*JK3:JK42)+SUMPRODUCT((JC3:JC42=IB22)*(JF3:JF42=IB24)*JK3:JK42)+SUMPRODUCT((JC3:JC42=IB22)*(JF3:JF42=IB21)*JK3:JK42)+SUMPRODUCT((JC3:JC42=IB23)*(JF3:JF42=IB22)*JL3:JL42)+SUMPRODUCT((JC3:JC42=IB24)*(JF3:JF42=IB22)*JL3:JL42)+SUMPRODUCT((JC3:JC42=IB21)*(JF3:JF42=IB22)*JL3:JL42)</f>
        <v>0</v>
      </c>
      <c r="IQ22" s="75">
        <f t="shared" ref="IQ22" ca="1" si="141">IC22*4+ID22*2+IO22+IP22</f>
        <v>0</v>
      </c>
      <c r="IR22" s="75" t="str">
        <f ca="1">IF(IB22&lt;&gt;"",RANK(IQ22,IQ21:IQ24),"")</f>
        <v/>
      </c>
      <c r="IS22" s="75">
        <f ca="1">SUMPRODUCT((IQ21:IQ24=IQ22)*(IH21:IH24&gt;IH22))</f>
        <v>0</v>
      </c>
      <c r="IT22" s="75">
        <f ca="1">SUMPRODUCT((IQ21:IQ24=IQ22)*(IH21:IH24=IH22)*(IK21:IK24&gt;IK22))</f>
        <v>0</v>
      </c>
      <c r="IU22" s="75">
        <f ca="1">SUMPRODUCT((IQ18:IQ22=IQ22)*(IH18:IH22=IH22)*(IK18:IK22=IK22)*(IL18:IL22&gt;IL22))</f>
        <v>0</v>
      </c>
      <c r="IV22" s="75">
        <f ca="1">SUMPRODUCT((IQ18:IQ22=IQ22)*(IH18:IH22=IH22)*(IK18:IK22=IK22)*(IL18:IL22=IL22)*(IM18:IM22&gt;IM22))</f>
        <v>0</v>
      </c>
      <c r="IW22" s="75">
        <f ca="1">SUMPRODUCT((IQ18:IQ22=IQ22)*(IH18:IH22=IH22)*(IK18:IK22=IK22)*(IL18:IL22=IL22)*(IM18:IM22=IM22)*(IN18:IN22&gt;IN22))</f>
        <v>0</v>
      </c>
      <c r="IX22" s="75" t="str">
        <f t="shared" ca="1" si="137"/>
        <v/>
      </c>
      <c r="IY22" s="75" t="str">
        <f ca="1">IF(IB21&lt;&gt;"",IF(IB21=IY21,IB22,IB21),"")</f>
        <v/>
      </c>
      <c r="IZ22" s="75" t="str">
        <f ca="1">IF(IY22&lt;&gt;"",IY22,IF(IA22&lt;&gt;"",IA22,IF(HC22&lt;&gt;"",HC22,IF(GE22&lt;&gt;"",GE22,FA22))))</f>
        <v>New Zealand</v>
      </c>
      <c r="JA22" s="75">
        <v>5</v>
      </c>
      <c r="JB22" s="75">
        <v>20</v>
      </c>
      <c r="JC22" s="75" t="str">
        <f t="shared" si="4"/>
        <v>Tonga</v>
      </c>
      <c r="JD22" s="75" t="str">
        <f ca="1">IF(OFFSET('Prediction Sheet'!$W32,0,JD$1)&lt;&gt;"",OFFSET('Prediction Sheet'!$W32,0,JD$1),"")</f>
        <v/>
      </c>
      <c r="JE22" s="75" t="str">
        <f ca="1">IF(OFFSET('Prediction Sheet'!$Y32,0,JD$1)&lt;&gt;"",OFFSET('Prediction Sheet'!$Y32,0,JD$1),"")</f>
        <v/>
      </c>
      <c r="JF22" s="75" t="str">
        <f t="shared" si="5"/>
        <v>Namibia</v>
      </c>
      <c r="JG22" s="75" t="str">
        <f ca="1">IF(OFFSET('Prediction Sheet'!$AA32,0,JF$1)&lt;&gt;"",OFFSET('Prediction Sheet'!$AA32,0,JF$1),"")</f>
        <v/>
      </c>
      <c r="JH22" s="75" t="str">
        <f ca="1">IF(OFFSET('Prediction Sheet'!$AC32,0,JG$1)&lt;&gt;"",OFFSET('Prediction Sheet'!$AC32,0,JG$1),"")</f>
        <v/>
      </c>
      <c r="JI22" s="75">
        <f t="shared" ca="1" si="6"/>
        <v>0</v>
      </c>
      <c r="JJ22" s="75">
        <f t="shared" ca="1" si="7"/>
        <v>0</v>
      </c>
      <c r="JK22" s="75">
        <f t="shared" ca="1" si="8"/>
        <v>0</v>
      </c>
      <c r="JL22" s="75">
        <f t="shared" ca="1" si="9"/>
        <v>0</v>
      </c>
      <c r="JM22" s="75" t="str">
        <f t="shared" ca="1" si="10"/>
        <v/>
      </c>
      <c r="JN22" s="75" t="str">
        <f t="shared" ca="1" si="11"/>
        <v/>
      </c>
    </row>
    <row r="23" spans="1:274" x14ac:dyDescent="0.2">
      <c r="DU23" s="75">
        <v>21</v>
      </c>
      <c r="DV23" s="75" t="str">
        <f>Tournament!H33</f>
        <v>Wales</v>
      </c>
      <c r="DW23" s="75">
        <f>IF(AND(Tournament!J33&lt;&gt;"",Tournament!L33&lt;&gt;""),Tournament!J33,0)</f>
        <v>0</v>
      </c>
      <c r="DX23" s="75">
        <f>IF(AND(Tournament!L33&lt;&gt;"",Tournament!J33&lt;&gt;""),Tournament!L33,0)</f>
        <v>0</v>
      </c>
      <c r="DY23" s="75" t="str">
        <f>Tournament!N33</f>
        <v>Fiji</v>
      </c>
      <c r="DZ23" s="75">
        <f>IF(Tournament!O33&lt;&gt;"",Tournament!O33,0)</f>
        <v>0</v>
      </c>
      <c r="EA23" s="75">
        <f>IF(Tournament!Q33&lt;&gt;"",Tournament!Q33,0)</f>
        <v>0</v>
      </c>
      <c r="EB23" s="75">
        <f>IF(DW23&lt;&gt;"",IF(Tournament!O33&gt;3,1,0),0)</f>
        <v>1</v>
      </c>
      <c r="EC23" s="75">
        <f>IF(DX23&lt;&gt;"",IF(Tournament!Q33&gt;3,1,0),0)</f>
        <v>1</v>
      </c>
      <c r="ED23" s="75">
        <f t="shared" si="1"/>
        <v>0</v>
      </c>
      <c r="EE23" s="75">
        <f t="shared" si="2"/>
        <v>0</v>
      </c>
      <c r="EF23" s="75" t="str">
        <f>IF(AND(Tournament!J33&lt;&gt;"",Tournament!L33&lt;&gt;""),IF(DW23&gt;DX23,"W",IF(DW23=DX23,"D","L")),"")</f>
        <v/>
      </c>
      <c r="EG23" s="75" t="str">
        <f t="shared" si="3"/>
        <v/>
      </c>
      <c r="JB23" s="75">
        <v>21</v>
      </c>
      <c r="JC23" s="75" t="str">
        <f t="shared" si="4"/>
        <v>Wales</v>
      </c>
      <c r="JD23" s="75" t="str">
        <f ca="1">IF(OFFSET('Prediction Sheet'!$W33,0,JD$1)&lt;&gt;"",OFFSET('Prediction Sheet'!$W33,0,JD$1),"")</f>
        <v/>
      </c>
      <c r="JE23" s="75" t="str">
        <f ca="1">IF(OFFSET('Prediction Sheet'!$Y33,0,JD$1)&lt;&gt;"",OFFSET('Prediction Sheet'!$Y33,0,JD$1),"")</f>
        <v/>
      </c>
      <c r="JF23" s="75" t="str">
        <f t="shared" si="5"/>
        <v>Fiji</v>
      </c>
      <c r="JG23" s="75" t="str">
        <f ca="1">IF(OFFSET('Prediction Sheet'!$AA33,0,JF$1)&lt;&gt;"",OFFSET('Prediction Sheet'!$AA33,0,JF$1),"")</f>
        <v/>
      </c>
      <c r="JH23" s="75" t="str">
        <f ca="1">IF(OFFSET('Prediction Sheet'!$AC33,0,JG$1)&lt;&gt;"",OFFSET('Prediction Sheet'!$AC33,0,JG$1),"")</f>
        <v/>
      </c>
      <c r="JI23" s="75">
        <f t="shared" ca="1" si="6"/>
        <v>0</v>
      </c>
      <c r="JJ23" s="75">
        <f t="shared" ca="1" si="7"/>
        <v>0</v>
      </c>
      <c r="JK23" s="75">
        <f t="shared" ca="1" si="8"/>
        <v>0</v>
      </c>
      <c r="JL23" s="75">
        <f t="shared" ca="1" si="9"/>
        <v>0</v>
      </c>
      <c r="JM23" s="75" t="str">
        <f t="shared" ca="1" si="10"/>
        <v/>
      </c>
      <c r="JN23" s="75" t="str">
        <f t="shared" ca="1" si="11"/>
        <v/>
      </c>
    </row>
    <row r="24" spans="1:274" x14ac:dyDescent="0.2">
      <c r="DU24" s="75">
        <v>22</v>
      </c>
      <c r="DV24" s="75" t="str">
        <f>Tournament!H34</f>
        <v>France</v>
      </c>
      <c r="DW24" s="75">
        <f>IF(AND(Tournament!J34&lt;&gt;"",Tournament!L34&lt;&gt;""),Tournament!J34,0)</f>
        <v>0</v>
      </c>
      <c r="DX24" s="75">
        <f>IF(AND(Tournament!L34&lt;&gt;"",Tournament!J34&lt;&gt;""),Tournament!L34,0)</f>
        <v>0</v>
      </c>
      <c r="DY24" s="75" t="str">
        <f>Tournament!N34</f>
        <v>Canada</v>
      </c>
      <c r="DZ24" s="75">
        <f>IF(Tournament!O34&lt;&gt;"",Tournament!O34,0)</f>
        <v>0</v>
      </c>
      <c r="EA24" s="75">
        <f>IF(Tournament!Q34&lt;&gt;"",Tournament!Q34,0)</f>
        <v>0</v>
      </c>
      <c r="EB24" s="75">
        <f>IF(DW24&lt;&gt;"",IF(Tournament!O34&gt;3,1,0),0)</f>
        <v>1</v>
      </c>
      <c r="EC24" s="75">
        <f>IF(DX24&lt;&gt;"",IF(Tournament!Q34&gt;3,1,0),0)</f>
        <v>1</v>
      </c>
      <c r="ED24" s="75">
        <f t="shared" si="1"/>
        <v>0</v>
      </c>
      <c r="EE24" s="75">
        <f t="shared" si="2"/>
        <v>0</v>
      </c>
      <c r="EF24" s="75" t="str">
        <f>IF(AND(Tournament!J34&lt;&gt;"",Tournament!L34&lt;&gt;""),IF(DW24&gt;DX24,"W",IF(DW24=DX24,"D","L")),"")</f>
        <v/>
      </c>
      <c r="EG24" s="75" t="str">
        <f t="shared" si="3"/>
        <v/>
      </c>
      <c r="JB24" s="75">
        <v>22</v>
      </c>
      <c r="JC24" s="75" t="str">
        <f t="shared" si="4"/>
        <v>France</v>
      </c>
      <c r="JD24" s="75" t="str">
        <f ca="1">IF(OFFSET('Prediction Sheet'!$W34,0,JD$1)&lt;&gt;"",OFFSET('Prediction Sheet'!$W34,0,JD$1),"")</f>
        <v/>
      </c>
      <c r="JE24" s="75" t="str">
        <f ca="1">IF(OFFSET('Prediction Sheet'!$Y34,0,JD$1)&lt;&gt;"",OFFSET('Prediction Sheet'!$Y34,0,JD$1),"")</f>
        <v/>
      </c>
      <c r="JF24" s="75" t="str">
        <f t="shared" si="5"/>
        <v>Canada</v>
      </c>
      <c r="JG24" s="75" t="str">
        <f ca="1">IF(OFFSET('Prediction Sheet'!$AA34,0,JF$1)&lt;&gt;"",OFFSET('Prediction Sheet'!$AA34,0,JF$1),"")</f>
        <v/>
      </c>
      <c r="JH24" s="75" t="str">
        <f ca="1">IF(OFFSET('Prediction Sheet'!$AC34,0,JG$1)&lt;&gt;"",OFFSET('Prediction Sheet'!$AC34,0,JG$1),"")</f>
        <v/>
      </c>
      <c r="JI24" s="75">
        <f t="shared" ca="1" si="6"/>
        <v>0</v>
      </c>
      <c r="JJ24" s="75">
        <f t="shared" ca="1" si="7"/>
        <v>0</v>
      </c>
      <c r="JK24" s="75">
        <f t="shared" ca="1" si="8"/>
        <v>0</v>
      </c>
      <c r="JL24" s="75">
        <f t="shared" ca="1" si="9"/>
        <v>0</v>
      </c>
      <c r="JM24" s="75" t="str">
        <f t="shared" ca="1" si="10"/>
        <v/>
      </c>
      <c r="JN24" s="75" t="str">
        <f t="shared" ca="1" si="11"/>
        <v/>
      </c>
    </row>
    <row r="25" spans="1:274" x14ac:dyDescent="0.2">
      <c r="A25" s="75">
        <f>VLOOKUP(B25,DS25:DT29,2,FALSE)</f>
        <v>4</v>
      </c>
      <c r="B25" s="75" t="s">
        <v>18</v>
      </c>
      <c r="C25" s="75">
        <f t="shared" ref="C25:C29" si="142">COUNTIFS($DV$3:$DV$42,B25,$EF$3:$EF$42,"W")+COUNTIFS($DY$3:$DY$42,B25,$EG$3:$EG$42,"W")</f>
        <v>0</v>
      </c>
      <c r="D25" s="75">
        <f t="shared" ref="D25:D29" si="143">COUNTIFS($DV$3:$DV$42,B25,$EF$3:$EF$42,"D")+COUNTIFS($DY$3:$DY$42,B25,$EG$3:$EG$42,"D")</f>
        <v>0</v>
      </c>
      <c r="E25" s="75">
        <f t="shared" ref="E25:E29" si="144">COUNTIFS($DV$3:$DV$42,B25,$EF$3:$EF$42,"L")+COUNTIFS($DY$3:$DY$42,B25,$EG$3:$EG$42,"L")</f>
        <v>0</v>
      </c>
      <c r="F25" s="75">
        <f>SUMIF($DV$3:$DV$60,B25,$DW$3:$DW$60)+SUMIF($DY$3:$DY$60,B25,$DX$3:$DX$60)</f>
        <v>0</v>
      </c>
      <c r="G25" s="75">
        <f>SUMIF($DY$3:$DY$60,B25,$DW$3:$DW$60)+SUMIF($DV$3:$DV$60,B25,$DX$3:$DX$60)</f>
        <v>0</v>
      </c>
      <c r="H25" s="75">
        <f t="shared" ref="H25:H29" si="145">F25-G25+1000</f>
        <v>1000</v>
      </c>
      <c r="I25" s="75">
        <f>SUMIF(Tournament!$H$13:$H$52,B25,Tournament!$O$13:$O$52)+SUMIF(Tournament!$N$13:$N$52,B25,Tournament!$Q$13:$Q$52)</f>
        <v>0</v>
      </c>
      <c r="J25" s="75">
        <f>SUMIF(Tournament!$N$13:$N$52,B25,Tournament!$O$13:$O$52)+SUMIF(Tournament!$H$13:$H$52,B25,Tournament!$Q$13:$Q$52)</f>
        <v>0</v>
      </c>
      <c r="K25" s="75">
        <f t="shared" ref="K25:K29" si="146">I25-J25+1000</f>
        <v>1000</v>
      </c>
      <c r="L25" s="75">
        <f t="shared" ref="L25:L29" si="147">C25*4+D25*2</f>
        <v>0</v>
      </c>
      <c r="M25" s="75">
        <f>SUMIF(DV:DV,B25,EB:EB)+SUMIF(DY:DY,B25,EC:EC)</f>
        <v>4</v>
      </c>
      <c r="N25" s="75">
        <f>SUMIF(DV:DV,B25,ED:ED)+SUMIF(DY:DY,B25,EE:EE)</f>
        <v>0</v>
      </c>
      <c r="O25" s="75">
        <f t="shared" ref="O25:O29" si="148">N25+M25+L25</f>
        <v>4</v>
      </c>
      <c r="P25" s="75">
        <v>7</v>
      </c>
      <c r="Q25" s="75">
        <f>RANK(O25,O$25:O$29)</f>
        <v>1</v>
      </c>
      <c r="S25" s="75">
        <f>RANK(O25,$O$25:$O$29)+COUNTIF($O$25:O25,O25)-1</f>
        <v>1</v>
      </c>
      <c r="T25" s="75" t="str">
        <f>INDEX($B$25:$B$29,MATCH(1,$S$25:$S$29,0),0)</f>
        <v>France</v>
      </c>
      <c r="U25" s="75">
        <f>INDEX($Q$25:$Q$29,MATCH(T25,$B$25:$B$29,0),0)</f>
        <v>1</v>
      </c>
      <c r="V25" s="75" t="str">
        <f>IF(U26=1,T25,"")</f>
        <v>France</v>
      </c>
      <c r="W25" s="75" t="str">
        <f>IF(U27=2,T26,"")</f>
        <v/>
      </c>
      <c r="X25" s="75" t="str">
        <f>IF(U28=3,T27,"")</f>
        <v/>
      </c>
      <c r="Y25" s="75" t="str">
        <f>IF(U29=4,T28,"")</f>
        <v/>
      </c>
      <c r="AA25" s="75" t="str">
        <f>IF(V25&lt;&gt;"",V25,"")</f>
        <v>France</v>
      </c>
      <c r="AB25" s="75">
        <f>SUMPRODUCT((DV3:DV42=AA25)*(DY3:DY42=AA26)*(EF3:EF42="W"))+SUMPRODUCT((DV3:DV42=AA25)*(DY3:DY42=AA27)*(EF3:EF42="W"))+SUMPRODUCT((DV3:DV42=AA25)*(DY3:DY42=AA28)*(EF3:EF42="W"))+SUMPRODUCT((DV3:DV42=AA25)*(DY3:DY42=AA29)*(EF3:EF42="W"))+SUMPRODUCT((DV3:DV42=AA26)*(DY3:DY42=AA25)*(EG3:EG42="W"))+SUMPRODUCT((DV3:DV42=AA27)*(DY3:DY42=AA25)*(EG3:EG42="W"))+SUMPRODUCT((DV3:DV42=AA28)*(DY3:DY42=AA25)*(EG3:EG42="W"))+SUMPRODUCT((DV3:DV42=AA29)*(DY3:DY42=AA25)*(EG3:EG42="W"))</f>
        <v>0</v>
      </c>
      <c r="AC25" s="75">
        <f>SUMPRODUCT((DV3:DV42=AA25)*(DY3:DY42=AA26)*(EF3:EF42="D"))+SUMPRODUCT((DV3:DV42=AA25)*(DY3:DY42=AA27)*(EF3:EF42="D"))+SUMPRODUCT((DV3:DV42=AA25)*(DY3:DY42=AA28)*(EF3:EF42="D"))+SUMPRODUCT((DV3:DV42=AA25)*(DY3:DY42=AA29)*(EF3:EF42="D"))+SUMPRODUCT((DV3:DV42=AA26)*(DY3:DY42=AA25)*(EF3:EF42="D"))+SUMPRODUCT((DV3:DV42=AA27)*(DY3:DY42=AA25)*(EF3:EF42="D"))+SUMPRODUCT((DV3:DV42=AA28)*(DY3:DY42=AA25)*(EF3:EF42="D"))+SUMPRODUCT((DV3:DV42=AA29)*(DY3:DY42=AA25)*(EF3:EF42="D"))</f>
        <v>0</v>
      </c>
      <c r="AD25" s="75">
        <f>SUMPRODUCT((DV3:DV42=AA25)*(DY3:DY42=AA26)*(EF3:EF42="L"))+SUMPRODUCT((DV3:DV42=AA25)*(DY3:DY42=AA27)*(EF3:EF42="L"))+SUMPRODUCT((DV3:DV42=AA25)*(DY3:DY42=AA28)*(EF3:EF42="L"))+SUMPRODUCT((DV3:DV42=AA25)*(DY3:DY42=AA29)*(EF3:EF42="L"))+SUMPRODUCT((DV3:DV42=AA26)*(DY3:DY42=AA25)*(EG3:EG42="L"))+SUMPRODUCT((DV3:DV42=AA27)*(DY3:DY42=AA25)*(EG3:EG42="L"))+SUMPRODUCT((DV3:DV42=AA28)*(DY3:DY42=AA25)*(EG3:EG42="L"))+SUMPRODUCT((DV3:DV42=AA29)*(DY3:DY42=AA25)*(EG3:EG42="L"))</f>
        <v>0</v>
      </c>
      <c r="AE25" s="75">
        <f>IF(AA25&lt;&gt;"",VLOOKUP(AA25,B4:F29,5,FALSE),0)</f>
        <v>0</v>
      </c>
      <c r="AF25" s="75">
        <f>IF(AA25&lt;&gt;"",VLOOKUP(AA25,B4:G29,6,FALSE),0)</f>
        <v>0</v>
      </c>
      <c r="AG25" s="75">
        <f>AE25-AF25+1000</f>
        <v>1000</v>
      </c>
      <c r="AH25" s="75">
        <f>IF(AA25&lt;&gt;"",VLOOKUP(AA25,B4:I29,8,FALSE),0)</f>
        <v>0</v>
      </c>
      <c r="AI25" s="75">
        <f>IF(AA25&lt;&gt;"",VLOOKUP(AA25,B4:J29,9,FALSE),0)</f>
        <v>0</v>
      </c>
      <c r="AJ25" s="75">
        <f>AH25-AI25+1000</f>
        <v>1000</v>
      </c>
      <c r="AK25" s="75">
        <f>IF(AA25&lt;&gt;"",VLOOKUP(AA25,B25:F29,5,FALSE),"")</f>
        <v>0</v>
      </c>
      <c r="AL25" s="75">
        <f>IF(AA25&lt;&gt;"",VLOOKUP(AA25,B25:I29,8,FALSE),"")</f>
        <v>0</v>
      </c>
      <c r="AM25" s="75">
        <f>IF(AA25&lt;&gt;"",VLOOKUP(AA25,B25:P29,15,FALSE),"")</f>
        <v>7</v>
      </c>
      <c r="AN25" s="75">
        <f>SUMPRODUCT((DV3:DV42=AA25)*(DY3:DY42=AA26)*EB3:EB42)+SUMPRODUCT((DV3:DV42=AA25)*(DY3:DY42=AA27)*EB3:EB42)+SUMPRODUCT((DV3:DV42=AA25)*(DY3:DY42=AA28)*EB3:EB42)+SUMPRODUCT((DV3:DV42=AA25)*(DY3:DY42=AA29)*EB3:EB42)+SUMPRODUCT((DV3:DV42=AA26)*(DY3:DY42=AA25)*EC3:EC42)+SUMPRODUCT((DV3:DV42=AA27)*(DY3:DY42=AA25)*EC3:EC42)+SUMPRODUCT((DV3:DV42=AA28)*(DY3:DY42=AA25)*EC3:EC42)+SUMPRODUCT((DV3:DV42=AA29)*(DY3:DY42=AA25)*EC3:EC42)</f>
        <v>4</v>
      </c>
      <c r="AO25" s="75">
        <f>SUMPRODUCT((DV3:DV42=AA25)*(DY3:DY42=AA26)*ED3:ED42)+SUMPRODUCT((DV3:DV42=AA25)*(DY3:DY42=AA27)*ED3:ED42)+SUMPRODUCT((DV3:DV42=AA25)*(DY3:DY42=AA28)*ED3:ED42)+SUMPRODUCT((DV3:DV42=AA25)*(DY3:DY42=AA29)*ED3:ED42)+SUMPRODUCT((DV3:DV42=AA26)*(DY3:DY42=AA25)*EE3:EE42)+SUMPRODUCT((DV3:DV42=AA27)*(DY3:DY42=AA25)*EE3:EE42)+SUMPRODUCT((DV3:DV42=AA28)*(DY3:DY42=AA25)*EE3:EE42)+SUMPRODUCT((DV3:DV42=AA29)*(DY3:DY42=AA25)*EE3:EE42)</f>
        <v>0</v>
      </c>
      <c r="AP25" s="75">
        <f>AB25*4+AC25*2+AN25+AO25</f>
        <v>4</v>
      </c>
      <c r="AQ25" s="75">
        <f>IF(AA25&lt;&gt;"",RANK(AP25,AP25:AP29),"")</f>
        <v>1</v>
      </c>
      <c r="AR25" s="75">
        <f>SUMPRODUCT((AP25:AP29=AP25)*(AG25:AG29&gt;AG25))</f>
        <v>0</v>
      </c>
      <c r="AS25" s="75">
        <f>SUMPRODUCT((AP25:AP29=AP25)*(AG25:AG29=AG25)*(AJ25:AJ29&gt;AJ25))</f>
        <v>0</v>
      </c>
      <c r="AT25" s="75">
        <f>SUMPRODUCT((AP25:AP29=AP25)*(AG25:AG29=AG25)*(AJ25:AJ29=AJ25)*(AK25:AK29&gt;AK25))</f>
        <v>0</v>
      </c>
      <c r="AU25" s="75">
        <f>SUMPRODUCT((AP25:AP29=AP25)*(AG25:AG29=AG25)*(AJ25:AJ29=AJ25)*(AK25:AK29=AK25)*(AL25:AL29&gt;AL25))</f>
        <v>0</v>
      </c>
      <c r="AV25" s="75">
        <f>SUMPRODUCT((AP25:AP29=AP25)*(AG25:AG29=AG25)*(AJ25:AJ29=AJ25)*(AK25:AK29=AK25)*(AL25:AL29=AL25)*(AM25:AM29&gt;AM25))</f>
        <v>3</v>
      </c>
      <c r="AW25" s="75">
        <f t="shared" ref="AW25" si="149">IF(AA25&lt;&gt;"",SUM(AQ25:AV25),"")</f>
        <v>4</v>
      </c>
      <c r="AX25" s="75" t="str">
        <f>IF(AA25&lt;&gt;"",INDEX(AA25:AA29,MATCH(1,AW25:AW29,0),0),"")</f>
        <v>Canada</v>
      </c>
      <c r="DS25" s="75" t="str">
        <f>IF(AX25&lt;&gt;"",AX25,T25)</f>
        <v>Canada</v>
      </c>
      <c r="DT25" s="75">
        <v>1</v>
      </c>
      <c r="DU25" s="75">
        <v>23</v>
      </c>
      <c r="DV25" s="75" t="str">
        <f>Tournament!H35</f>
        <v>New Zealand</v>
      </c>
      <c r="DW25" s="75">
        <f>IF(AND(Tournament!J35&lt;&gt;"",Tournament!L35&lt;&gt;""),Tournament!J35,0)</f>
        <v>0</v>
      </c>
      <c r="DX25" s="75">
        <f>IF(AND(Tournament!L35&lt;&gt;"",Tournament!J35&lt;&gt;""),Tournament!L35,0)</f>
        <v>0</v>
      </c>
      <c r="DY25" s="75" t="str">
        <f>Tournament!N35</f>
        <v>Georgia</v>
      </c>
      <c r="DZ25" s="75">
        <f>IF(Tournament!O35&lt;&gt;"",Tournament!O35,0)</f>
        <v>0</v>
      </c>
      <c r="EA25" s="75">
        <f>IF(Tournament!Q35&lt;&gt;"",Tournament!Q35,0)</f>
        <v>0</v>
      </c>
      <c r="EB25" s="75">
        <f>IF(DW25&lt;&gt;"",IF(Tournament!O35&gt;3,1,0),0)</f>
        <v>1</v>
      </c>
      <c r="EC25" s="75">
        <f>IF(DX25&lt;&gt;"",IF(Tournament!Q35&gt;3,1,0),0)</f>
        <v>1</v>
      </c>
      <c r="ED25" s="75">
        <f t="shared" si="1"/>
        <v>0</v>
      </c>
      <c r="EE25" s="75">
        <f t="shared" si="2"/>
        <v>0</v>
      </c>
      <c r="EF25" s="75" t="str">
        <f>IF(AND(Tournament!J35&lt;&gt;"",Tournament!L35&lt;&gt;""),IF(DW25&gt;DX25,"W",IF(DW25=DX25,"D","L")),"")</f>
        <v/>
      </c>
      <c r="EG25" s="75" t="str">
        <f t="shared" si="3"/>
        <v/>
      </c>
      <c r="EH25" s="75">
        <f ca="1">VLOOKUP(EI25,IZ25:JA29,2,FALSE)</f>
        <v>4</v>
      </c>
      <c r="EI25" s="75" t="s">
        <v>18</v>
      </c>
      <c r="EJ25" s="75">
        <f t="shared" ref="EJ25:EJ29" ca="1" si="150">COUNTIFS(JC$3:JC$42,EI25,JM$3:JM$42,"W")+COUNTIFS(JF$3:JF$42,EI25,JN$3:JN$42,"W")</f>
        <v>0</v>
      </c>
      <c r="EK25" s="75">
        <f t="shared" ref="EK25:EK29" ca="1" si="151">COUNTIFS(JC$3:JC$42,EI25,JM$3:JM$42,"D")+COUNTIFS(JF$3:JF$42,EI25,JN$3:JN$42,"D")</f>
        <v>0</v>
      </c>
      <c r="EL25" s="75">
        <f t="shared" ref="EL25:EL29" ca="1" si="152">COUNTIFS(JC$3:JC$42,EI25,JM$3:JM$42,"L")+COUNTIFS(JF$3:JF$42,EI25,JN$3:JN$42,"L")</f>
        <v>0</v>
      </c>
      <c r="EM25" s="75">
        <f t="shared" ref="EM25:EM29" ca="1" si="153">SUMIF(JC$3:JC$60,EI25,JD$3:JD$60)+SUMIF(JF$3:JF$60,EI25,JE$3:JE$60)</f>
        <v>0</v>
      </c>
      <c r="EN25" s="75">
        <f ca="1">SUMIF(JF$3:JF$60,EI25,JD$3:JD$60)+SUMIF(JC$3:JC$60,EI25,JE$3:JE$60)</f>
        <v>0</v>
      </c>
      <c r="EO25" s="75">
        <f t="shared" ref="EO25:EO29" ca="1" si="154">EM25-EN25+1000</f>
        <v>1000</v>
      </c>
      <c r="EP25" s="75">
        <f ca="1">SUMIF(JC:JC,EI25,JG:JG)+SUMIF(JF:JF,EI25,JH:JH)</f>
        <v>0</v>
      </c>
      <c r="EQ25" s="75">
        <f ca="1">SUMIF(JF:JF,EI25,JG:JG)+SUMIF(JC:JC,EI25,JH:JH)</f>
        <v>0</v>
      </c>
      <c r="ER25" s="75">
        <f t="shared" ref="ER25:ER29" ca="1" si="155">EP25-EQ25+1000</f>
        <v>1000</v>
      </c>
      <c r="ES25" s="75">
        <f t="shared" ref="ES25:ES29" ca="1" si="156">EJ25*4+EK25*2</f>
        <v>0</v>
      </c>
      <c r="ET25" s="75">
        <f ca="1">SUMIF(JC:JC,EI25,JI:JI)+SUMIF(JF:JF,EI25,JJ:JJ)</f>
        <v>0</v>
      </c>
      <c r="EU25" s="75">
        <f ca="1">SUMIF(JC:JC,EI25,JK:JK)+SUMIF(JF:JF,EI25,JL:JL)</f>
        <v>0</v>
      </c>
      <c r="EV25" s="75">
        <f t="shared" ref="EV25:EV29" ca="1" si="157">EU25+ET25+ES25</f>
        <v>0</v>
      </c>
      <c r="EW25" s="75">
        <v>7</v>
      </c>
      <c r="EX25" s="75">
        <f ca="1">RANK(EV25,EV$25:EV$29)</f>
        <v>1</v>
      </c>
      <c r="EZ25" s="75">
        <f ca="1">RANK(EV25,EV$25:EV$29)+COUNTIF(EV$25:EV25,EV25)-1</f>
        <v>1</v>
      </c>
      <c r="FA25" s="75" t="str">
        <f ca="1">INDEX(EI$25:EI$29,MATCH(1,EZ$25:EZ$29,0),0)</f>
        <v>France</v>
      </c>
      <c r="FB25" s="75">
        <f ca="1">INDEX(EX$25:EX$29,MATCH(FA25,EI$25:EI$29,0),0)</f>
        <v>1</v>
      </c>
      <c r="FC25" s="75" t="str">
        <f ca="1">IF(FB26=1,FA25,"")</f>
        <v>France</v>
      </c>
      <c r="FD25" s="75" t="str">
        <f ca="1">IF(FB27=2,FA26,"")</f>
        <v/>
      </c>
      <c r="FE25" s="75" t="str">
        <f ca="1">IF(FB28=3,FA27,"")</f>
        <v/>
      </c>
      <c r="FF25" s="75" t="str">
        <f ca="1">IF(FB29=4,FA28,"")</f>
        <v/>
      </c>
      <c r="FH25" s="75" t="str">
        <f ca="1">IF(FC25&lt;&gt;"",FC25,"")</f>
        <v>France</v>
      </c>
      <c r="FI25" s="75">
        <f ca="1">SUMPRODUCT((JC3:JC42=FH25)*(JF3:JF42=FH26)*(JM3:JM42="W"))+SUMPRODUCT((JC3:JC42=FH25)*(JF3:JF42=FH27)*(JM3:JM42="W"))+SUMPRODUCT((JC3:JC42=FH25)*(JF3:JF42=FH28)*(JM3:JM42="W"))+SUMPRODUCT((JC3:JC42=FH25)*(JF3:JF42=FH29)*(JM3:JM42="W"))+SUMPRODUCT((JC3:JC42=FH26)*(JF3:JF42=FH25)*(JN3:JN42="W"))+SUMPRODUCT((JC3:JC42=FH27)*(JF3:JF42=FH25)*(JN3:JN42="W"))+SUMPRODUCT((JC3:JC42=FH28)*(JF3:JF42=FH25)*(JN3:JN42="W"))+SUMPRODUCT((JC3:JC42=FH29)*(JF3:JF42=FH25)*(JN3:JN42="W"))</f>
        <v>0</v>
      </c>
      <c r="FJ25" s="75">
        <f ca="1">SUMPRODUCT((JC3:JC42=FH25)*(JF3:JF42=FH26)*(JM3:JM42="D"))+SUMPRODUCT((JC3:JC42=FH25)*(JF3:JF42=FH27)*(JM3:JM42="D"))+SUMPRODUCT((JC3:JC42=FH25)*(JF3:JF42=FH28)*(JM3:JM42="D"))+SUMPRODUCT((JC3:JC42=FH25)*(JF3:JF42=FH29)*(JM3:JM42="D"))+SUMPRODUCT((JC3:JC42=FH26)*(JF3:JF42=FH25)*(JM3:JM42="D"))+SUMPRODUCT((JC3:JC42=FH27)*(JF3:JF42=FH25)*(JM3:JM42="D"))+SUMPRODUCT((JC3:JC42=FH28)*(JF3:JF42=FH25)*(JM3:JM42="D"))+SUMPRODUCT((JC3:JC42=FH29)*(JF3:JF42=FH25)*(JM3:JM42="D"))</f>
        <v>0</v>
      </c>
      <c r="FK25" s="75">
        <f ca="1">SUMPRODUCT((JC3:JC42=FH25)*(JF3:JF42=FH26)*(JM3:JM42="L"))+SUMPRODUCT((JC3:JC42=FH25)*(JF3:JF42=FH27)*(JM3:JM42="L"))+SUMPRODUCT((JC3:JC42=FH25)*(JF3:JF42=FH28)*(JM3:JM42="L"))+SUMPRODUCT((JC3:JC42=FH25)*(JF3:JF42=FH29)*(JM3:JM42="L"))+SUMPRODUCT((JC3:JC42=FH26)*(JF3:JF42=FH25)*(JN3:JN42="L"))+SUMPRODUCT((JC3:JC42=FH27)*(JF3:JF42=FH25)*(JN3:JN42="L"))+SUMPRODUCT((JC3:JC42=FH28)*(JF3:JF42=FH25)*(JN3:JN42="L"))+SUMPRODUCT((JC3:JC42=FH29)*(JF3:JF42=FH25)*(JN3:JN42="L"))</f>
        <v>0</v>
      </c>
      <c r="FL25" s="75">
        <f ca="1">IF(FH25&lt;&gt;"",VLOOKUP(FH25,EI4:EM29,5,FALSE),0)</f>
        <v>0</v>
      </c>
      <c r="FM25" s="75">
        <f ca="1">IF(FH25&lt;&gt;"",VLOOKUP(FH25,EI4:EN29,6,FALSE),0)</f>
        <v>0</v>
      </c>
      <c r="FN25" s="75">
        <f ca="1">FL25-FM25+1000</f>
        <v>1000</v>
      </c>
      <c r="FO25" s="75">
        <f ca="1">IF(FH25&lt;&gt;"",VLOOKUP(FH25,EI4:EP29,8,FALSE),0)</f>
        <v>0</v>
      </c>
      <c r="FP25" s="75">
        <f ca="1">IF(FH25&lt;&gt;"",VLOOKUP(FH25,EI4:EQ29,9,FALSE),0)</f>
        <v>0</v>
      </c>
      <c r="FQ25" s="75">
        <f ca="1">FO25-FP25+1000</f>
        <v>1000</v>
      </c>
      <c r="FR25" s="75">
        <f ca="1">IF(FH25&lt;&gt;"",VLOOKUP(FH25,EI25:EM29,5,FALSE),"")</f>
        <v>0</v>
      </c>
      <c r="FS25" s="75">
        <f ca="1">IF(FH25&lt;&gt;"",VLOOKUP(FH25,EI25:EP29,8,FALSE),"")</f>
        <v>0</v>
      </c>
      <c r="FT25" s="75">
        <f ca="1">IF(FH25&lt;&gt;"",VLOOKUP(FH25,EI25:EW29,15,FALSE),"")</f>
        <v>7</v>
      </c>
      <c r="FU25" s="75">
        <f ca="1">SUMPRODUCT((JC3:JC42=FH25)*(JF3:JF42=FH26)*JI3:JI42)+SUMPRODUCT((JC3:JC42=FH25)*(JF3:JF42=FH27)*JI3:JI42)+SUMPRODUCT((JC3:JC42=FH25)*(JF3:JF42=FH28)*JI3:JI42)+SUMPRODUCT((JC3:JC42=FH25)*(JF3:JF42=FH29)*JI3:JI42)+SUMPRODUCT((JC3:JC42=FH26)*(JF3:JF42=FH25)*JJ3:JJ42)+SUMPRODUCT((JC3:JC42=FH27)*(JF3:JF42=FH25)*JJ3:JJ42)+SUMPRODUCT((JC3:JC42=FH28)*(JF3:JF42=FH25)*JJ3:JJ42)+SUMPRODUCT((JC3:JC42=FH29)*(JF3:JF42=FH25)*JJ3:JJ42)</f>
        <v>0</v>
      </c>
      <c r="FV25" s="75">
        <f ca="1">SUMPRODUCT((JC3:JC42=FH25)*(JF3:JF42=FH26)*JK3:JK42)+SUMPRODUCT((JC3:JC42=FH25)*(JF3:JF42=FH27)*JK3:JK42)+SUMPRODUCT((JC3:JC42=FH25)*(JF3:JF42=FH28)*JK3:JK42)+SUMPRODUCT((JC3:JC42=FH25)*(JF3:JF42=FH29)*JK3:JK42)+SUMPRODUCT((JC3:JC42=FH26)*(JF3:JF42=FH25)*JL3:JL42)+SUMPRODUCT((JC3:JC42=FH27)*(JF3:JF42=FH25)*JL3:JL42)+SUMPRODUCT((JC3:JC42=FH28)*(JF3:JF42=FH25)*JL3:JL42)+SUMPRODUCT((JC3:JC42=FH29)*(JF3:JF42=FH25)*JL3:JL42)</f>
        <v>0</v>
      </c>
      <c r="FW25" s="75">
        <f ca="1">FI25*4+FJ25*2+FU25+FV25</f>
        <v>0</v>
      </c>
      <c r="FX25" s="75">
        <f ca="1">IF(FH25&lt;&gt;"",RANK(FW25,FW25:FW29),"")</f>
        <v>1</v>
      </c>
      <c r="FY25" s="75">
        <f ca="1">SUMPRODUCT((FW25:FW29=FW25)*(FN25:FN29&gt;FN25))</f>
        <v>0</v>
      </c>
      <c r="FZ25" s="75">
        <f ca="1">SUMPRODUCT((FW25:FW29=FW25)*(FN25:FN29=FN25)*(FQ25:FQ29&gt;FQ25))</f>
        <v>0</v>
      </c>
      <c r="GA25" s="75">
        <f ca="1">SUMPRODUCT((FW25:FW29=FW25)*(FN25:FN29=FN25)*(FQ25:FQ29=FQ25)*(FR25:FR29&gt;FR25))</f>
        <v>0</v>
      </c>
      <c r="GB25" s="75">
        <f ca="1">SUMPRODUCT((FW25:FW29=FW25)*(FN25:FN29=FN25)*(FQ25:FQ29=FQ25)*(FR25:FR29=FR25)*(FS25:FS29&gt;FS25))</f>
        <v>0</v>
      </c>
      <c r="GC25" s="75">
        <f ca="1">SUMPRODUCT((FW25:FW29=FW25)*(FN25:FN29=FN25)*(FQ25:FQ29=FQ25)*(FR25:FR29=FR25)*(FS25:FS29=FS25)*(FT25:FT29&gt;FT25))</f>
        <v>3</v>
      </c>
      <c r="GD25" s="75">
        <f t="shared" ref="GD25" ca="1" si="158">IF(FH25&lt;&gt;"",SUM(FX25:GC25),"")</f>
        <v>4</v>
      </c>
      <c r="GE25" s="75" t="str">
        <f ca="1">IF(FH25&lt;&gt;"",INDEX(FH25:FH29,MATCH(1,GD25:GD29,0),0),"")</f>
        <v>Canada</v>
      </c>
      <c r="IZ25" s="75" t="str">
        <f ca="1">IF(GE25&lt;&gt;"",GE25,FA25)</f>
        <v>Canada</v>
      </c>
      <c r="JA25" s="75">
        <v>1</v>
      </c>
      <c r="JB25" s="75">
        <v>23</v>
      </c>
      <c r="JC25" s="75" t="str">
        <f t="shared" si="4"/>
        <v>New Zealand</v>
      </c>
      <c r="JD25" s="75" t="str">
        <f ca="1">IF(OFFSET('Prediction Sheet'!$W35,0,JD$1)&lt;&gt;"",OFFSET('Prediction Sheet'!$W35,0,JD$1),"")</f>
        <v/>
      </c>
      <c r="JE25" s="75" t="str">
        <f ca="1">IF(OFFSET('Prediction Sheet'!$Y35,0,JD$1)&lt;&gt;"",OFFSET('Prediction Sheet'!$Y35,0,JD$1),"")</f>
        <v/>
      </c>
      <c r="JF25" s="75" t="str">
        <f t="shared" si="5"/>
        <v>Georgia</v>
      </c>
      <c r="JG25" s="75" t="str">
        <f ca="1">IF(OFFSET('Prediction Sheet'!$AA35,0,JF$1)&lt;&gt;"",OFFSET('Prediction Sheet'!$AA35,0,JF$1),"")</f>
        <v/>
      </c>
      <c r="JH25" s="75" t="str">
        <f ca="1">IF(OFFSET('Prediction Sheet'!$AC35,0,JG$1)&lt;&gt;"",OFFSET('Prediction Sheet'!$AC35,0,JG$1),"")</f>
        <v/>
      </c>
      <c r="JI25" s="75">
        <f t="shared" ca="1" si="6"/>
        <v>0</v>
      </c>
      <c r="JJ25" s="75">
        <f t="shared" ca="1" si="7"/>
        <v>0</v>
      </c>
      <c r="JK25" s="75">
        <f t="shared" ca="1" si="8"/>
        <v>0</v>
      </c>
      <c r="JL25" s="75">
        <f t="shared" ca="1" si="9"/>
        <v>0</v>
      </c>
      <c r="JM25" s="75" t="str">
        <f t="shared" ca="1" si="10"/>
        <v/>
      </c>
      <c r="JN25" s="75" t="str">
        <f t="shared" ca="1" si="11"/>
        <v/>
      </c>
    </row>
    <row r="26" spans="1:274" x14ac:dyDescent="0.2">
      <c r="A26" s="75">
        <f>VLOOKUP(B26,DS25:DT29,2,FALSE)</f>
        <v>5</v>
      </c>
      <c r="B26" s="75" t="s">
        <v>37</v>
      </c>
      <c r="C26" s="75">
        <f t="shared" si="142"/>
        <v>0</v>
      </c>
      <c r="D26" s="75">
        <f t="shared" si="143"/>
        <v>0</v>
      </c>
      <c r="E26" s="75">
        <f t="shared" si="144"/>
        <v>0</v>
      </c>
      <c r="F26" s="75">
        <f>SUMIF($DV$3:$DV$60,B26,$DW$3:$DW$60)+SUMIF($DY$3:$DY$60,B26,$DX$3:$DX$60)</f>
        <v>0</v>
      </c>
      <c r="G26" s="75">
        <f>SUMIF($DY$3:$DY$60,B26,$DW$3:$DW$60)+SUMIF($DV$3:$DV$60,B26,$DX$3:$DX$60)</f>
        <v>0</v>
      </c>
      <c r="H26" s="75">
        <f t="shared" si="145"/>
        <v>1000</v>
      </c>
      <c r="I26" s="75">
        <f>SUMIF(Tournament!$H$13:$H$52,B26,Tournament!$O$13:$O$52)+SUMIF(Tournament!$N$13:$N$52,B26,Tournament!$Q$13:$Q$52)</f>
        <v>0</v>
      </c>
      <c r="J26" s="75">
        <f>SUMIF(Tournament!$N$13:$N$52,B26,Tournament!$O$13:$O$52)+SUMIF(Tournament!$H$13:$H$52,B26,Tournament!$Q$13:$Q$52)</f>
        <v>0</v>
      </c>
      <c r="K26" s="75">
        <f t="shared" si="146"/>
        <v>1000</v>
      </c>
      <c r="L26" s="75">
        <f t="shared" si="147"/>
        <v>0</v>
      </c>
      <c r="M26" s="75">
        <f>SUMIF(DV:DV,B26,EB:EB)+SUMIF(DY:DY,B26,EC:EC)</f>
        <v>4</v>
      </c>
      <c r="N26" s="75">
        <f>SUMIF(DV:DV,B26,ED:ED)+SUMIF(DY:DY,B26,EE:EE)</f>
        <v>0</v>
      </c>
      <c r="O26" s="75">
        <f t="shared" si="148"/>
        <v>4</v>
      </c>
      <c r="P26" s="75">
        <v>3</v>
      </c>
      <c r="Q26" s="75">
        <f t="shared" ref="Q26:Q29" si="159">RANK(O26,O$25:O$29)</f>
        <v>1</v>
      </c>
      <c r="S26" s="75">
        <f>RANK(O26,$O$25:$O$29)+COUNTIF($O$25:O26,O26)-1</f>
        <v>2</v>
      </c>
      <c r="T26" s="75" t="str">
        <f>INDEX($B$25:$B$29,MATCH(2,$S$25:$S$29,0),0)</f>
        <v>Ireland</v>
      </c>
      <c r="U26" s="75">
        <f t="shared" ref="U26:U29" si="160">INDEX($Q$25:$Q$29,MATCH(T26,$B$25:$B$29,0),0)</f>
        <v>1</v>
      </c>
      <c r="V26" s="75" t="str">
        <f>IF(V25&lt;&gt;"",T26,"")</f>
        <v>Ireland</v>
      </c>
      <c r="W26" s="75" t="str">
        <f>IF(W25&lt;&gt;"",T27,"")</f>
        <v/>
      </c>
      <c r="X26" s="75" t="str">
        <f>IF(X25&lt;&gt;"",T28,"")</f>
        <v/>
      </c>
      <c r="Y26" s="75" t="str">
        <f>IF(Y25&lt;&gt;"",T29,"")</f>
        <v/>
      </c>
      <c r="AA26" s="75" t="str">
        <f t="shared" ref="AA26:AA29" si="161">IF(V26&lt;&gt;"",V26,"")</f>
        <v>Ireland</v>
      </c>
      <c r="AB26" s="75">
        <f>SUMPRODUCT((DV3:DV42=AA26)*(DY3:DY42=AA27)*(EF3:EF42="W"))+SUMPRODUCT((DV3:DV42=AA26)*(DY3:DY42=AA28)*(EF3:EF42="W"))+SUMPRODUCT((DV3:DV42=AA26)*(DY3:DY42=AA29)*(EF3:EF42="W"))+SUMPRODUCT((DV3:DV42=AA26)*(DY3:DY42=AA25)*(EF3:EF42="W"))+SUMPRODUCT((DV3:DV42=AA27)*(DY3:DY42=AA26)*(EG3:EG42="W"))+SUMPRODUCT((DV3:DV42=AA28)*(DY3:DY42=AA26)*(EG3:EG42="W"))+SUMPRODUCT((DV3:DV42=AA29)*(DY3:DY42=AA26)*(EG3:EG42="W"))+SUMPRODUCT((DV3:DV42=AA25)*(DY3:DY42=AA26)*(EG3:EG42="W"))</f>
        <v>0</v>
      </c>
      <c r="AC26" s="75">
        <f>SUMPRODUCT((DV3:DV42=AA26)*(DY3:DY42=AA27)*(EF3:EF42="D"))+SUMPRODUCT((DV3:DV42=AA26)*(DY3:DY42=AA28)*(EF3:EF42="D"))+SUMPRODUCT((DV3:DV42=AA26)*(DY3:DY42=AA29)*(EF3:EF42="D"))+SUMPRODUCT((DV3:DV42=AA26)*(DY3:DY42=AA25)*(EF3:EF42="D"))+SUMPRODUCT((DV3:DV42=AA27)*(DY3:DY42=AA26)*(EF3:EF42="D"))+SUMPRODUCT((DV3:DV42=AA28)*(DY3:DY42=AA26)*(EF3:EF42="D"))+SUMPRODUCT((DV3:DV42=AA29)*(DY3:DY42=AA26)*(EF3:EF42="D"))+SUMPRODUCT((DV3:DV42=AA25)*(DY3:DY42=AA26)*(EF3:EF42="D"))</f>
        <v>0</v>
      </c>
      <c r="AD26" s="75">
        <f>SUMPRODUCT((DV3:DV42=AA26)*(DY3:DY42=AA27)*(EF3:EF42="L"))+SUMPRODUCT((DV3:DV42=AA26)*(DY3:DY42=AA28)*(EF3:EF42="L"))+SUMPRODUCT((DV3:DV42=AA26)*(DY3:DY42=AA29)*(EF3:EF42="L"))+SUMPRODUCT((DV3:DV42=AA26)*(DY3:DY42=AA25)*(EF3:EF42="L"))+SUMPRODUCT((DV3:DV42=AA27)*(DY3:DY42=AA26)*(EG3:EG42="L"))+SUMPRODUCT((DV3:DV42=AA28)*(DY3:DY42=AA26)*(EG3:EG42="L"))+SUMPRODUCT((DV3:DV42=AA29)*(DY3:DY42=AA26)*(EG3:EG42="L"))+SUMPRODUCT((DV3:DV42=AA25)*(DY3:DY42=AA26)*(EG3:EG42="L"))</f>
        <v>0</v>
      </c>
      <c r="AE26" s="75">
        <f>IF(AA26&lt;&gt;"",VLOOKUP(AA26,B4:F29,5,FALSE),0)</f>
        <v>0</v>
      </c>
      <c r="AF26" s="75">
        <f>IF(AA26&lt;&gt;"",VLOOKUP(AA26,B4:G29,6,FALSE),0)</f>
        <v>0</v>
      </c>
      <c r="AG26" s="75">
        <f>AE26-AF26+1000</f>
        <v>1000</v>
      </c>
      <c r="AH26" s="75">
        <f>IF(AA26&lt;&gt;"",VLOOKUP(AA26,B4:I29,8,FALSE),0)</f>
        <v>0</v>
      </c>
      <c r="AI26" s="75">
        <f>IF(AA26&lt;&gt;"",VLOOKUP(AA26,B4:J29,9,FALSE),0)</f>
        <v>0</v>
      </c>
      <c r="AJ26" s="75">
        <f t="shared" ref="AJ26" si="162">AH26-AI26+1000</f>
        <v>1000</v>
      </c>
      <c r="AK26" s="75">
        <f>IF(AA26&lt;&gt;"",VLOOKUP(AA26,B25:F29,5,FALSE),"")</f>
        <v>0</v>
      </c>
      <c r="AL26" s="75">
        <f>IF(AA26&lt;&gt;"",VLOOKUP(AA26,B25:I29,8,FALSE),"")</f>
        <v>0</v>
      </c>
      <c r="AM26" s="75">
        <f>IF(AA26&lt;&gt;"",VLOOKUP(AA26,B25:P29,15,FALSE),"")</f>
        <v>3</v>
      </c>
      <c r="AN26" s="75">
        <f>SUMPRODUCT((DV3:DV42=AA26)*(DY3:DY42=AA27)*EB3:EB42)+SUMPRODUCT((DV3:DV42=AA26)*(DY3:DY42=AA28)*EB3:EB42)+SUMPRODUCT((DV3:DV42=AA26)*(DY3:DY42=AA29)*EB3:EB42)+SUMPRODUCT((DV3:DV42=AA26)*(DY3:DY42=AA25)*EB3:EB42)+SUMPRODUCT((DV3:DV42=AA27)*(DY3:DY42=AA26)*EC3:EC42)+SUMPRODUCT((DV3:DV42=AA28)*(DY3:DY42=AA26)*EC3:EC42)+SUMPRODUCT((DV3:DV42=AA29)*(DY3:DY42=AA26)*EC3:EC42)+SUMPRODUCT((DV3:DV42=AA25)*(DY3:DY42=AA26)*EC3:EC42)</f>
        <v>4</v>
      </c>
      <c r="AO26" s="75">
        <f>SUMPRODUCT((DV3:DV42=AA26)*(DY3:DY42=AA27)*ED3:ED42)+SUMPRODUCT((DV3:DV42=AA26)*(DY3:DY42=AA28)*ED3:ED42)+SUMPRODUCT((DV3:DV42=AA26)*(DY3:DY42=AA29)*ED3:ED42)+SUMPRODUCT((DV3:DV42=AA26)*(DY3:DY42=AA25)*ED3:ED42)+SUMPRODUCT((DV3:DV42=AA27)*(DY3:DY42=AA26)*EE3:EE42)+SUMPRODUCT((DV3:DV42=AA28)*(DY3:DY42=AA26)*EE3:EE42)+SUMPRODUCT((DV3:DV42=AA29)*(DY3:DY42=AA26)*EE3:EE42)+SUMPRODUCT((DV3:DV42=AA25)*(DY3:DY42=AA26)*EE3:EE42)</f>
        <v>0</v>
      </c>
      <c r="AP26" s="75">
        <f t="shared" ref="AP26" si="163">AB26*4+AC26*2+AN26+AO26</f>
        <v>4</v>
      </c>
      <c r="AQ26" s="75">
        <f>IF(AA26&lt;&gt;"",RANK(AP26,AP25:AP29),"")</f>
        <v>1</v>
      </c>
      <c r="AR26" s="75">
        <f>SUMPRODUCT((AP25:AP29=AP26)*(AG25:AG29&gt;AG26))</f>
        <v>0</v>
      </c>
      <c r="AS26" s="75">
        <f>SUMPRODUCT((AP25:AP29=AP26)*(AG25:AG29=AG26)*(AJ25:AJ29&gt;AJ26))</f>
        <v>0</v>
      </c>
      <c r="AT26" s="75">
        <f>SUMPRODUCT((AP25:AP29=AP26)*(AG25:AG29=AG26)*(AJ25:AJ29=AJ26)*(AK25:AK29&gt;AK26))</f>
        <v>0</v>
      </c>
      <c r="AU26" s="75">
        <f>SUMPRODUCT((AP25:AP29=AP26)*(AG25:AG29=AG26)*(AJ25:AJ29=AJ26)*(AK25:AK29=AK26)*(AL25:AL29&gt;AL26))</f>
        <v>0</v>
      </c>
      <c r="AV26" s="75">
        <f>SUMPRODUCT((AP25:AP29=AP26)*(AG25:AG29=AG26)*(AJ25:AJ29=AJ26)*(AK25:AK29=AK26)*(AL25:AL29=AL26)*(AM25:AM29&gt;AM26))</f>
        <v>4</v>
      </c>
      <c r="AW26" s="75">
        <f t="shared" ref="AW26:AW29" si="164">IF(AA26&lt;&gt;"",SUM(AQ26:AV26),"")</f>
        <v>5</v>
      </c>
      <c r="AX26" s="75" t="str">
        <f>IF(AA26&lt;&gt;"",INDEX(AA25:AA29,MATCH(2,AW25:AW29,0),0),"")</f>
        <v>Romania</v>
      </c>
      <c r="AY26" s="75" t="str">
        <f>IF(W25&lt;&gt;"",W25,"")</f>
        <v/>
      </c>
      <c r="AZ26" s="75">
        <f>SUMPRODUCT((DV3:DV42=AY26)*(DY3:DY42=AY27)*(EF3:EF42="W"))+SUMPRODUCT((DV3:DV42=AY26)*(DY3:DY42=AY28)*(EF3:EF42="W"))+SUMPRODUCT((DV3:DV42=AY26)*(DY3:DY42=AY29)*(EF3:EF42="W"))+SUMPRODUCT((DV3:DV42=AY27)*(DY3:DY42=AY26)*(EG3:EG42="W"))+SUMPRODUCT((DV3:DV42=AY28)*(DY3:DY42=AY26)*(EG3:EG42="W"))+SUMPRODUCT((DV3:DV42=AY29)*(DY3:DY42=AY26)*(EG3:EG42="W"))</f>
        <v>0</v>
      </c>
      <c r="BA26" s="75">
        <f>SUMPRODUCT((DV3:DV42=AY26)*(DY3:DY42=AY27)*(EF3:EF42="D"))+SUMPRODUCT((DV3:DV42=AY26)*(DY3:DY42=AY28)*(EF3:EF42="D"))+SUMPRODUCT((DV3:DV42=AY26)*(DY3:DY42=AY29)*(EF3:EF42="D"))+SUMPRODUCT((DV3:DV42=AY27)*(DY3:DY42=AY26)*(EF3:EF42="D"))+SUMPRODUCT((DV3:DV42=AY28)*(DY3:DY42=AY26)*(EF3:EF42="D"))+SUMPRODUCT((DV3:DV42=AY29)*(DY3:DY42=AY26)*(EF3:EF42="D"))</f>
        <v>0</v>
      </c>
      <c r="BB26" s="75">
        <f>SUMPRODUCT((DV3:DV42=AY26)*(DY3:DY42=AY27)*(EF3:EF42="L"))+SUMPRODUCT((DV3:DV42=AY26)*(DY3:DY42=AY28)*(EF3:EF42="L"))+SUMPRODUCT((DV3:DV42=AY26)*(DY3:DY42=AY29)*(EF3:EF42="L"))+SUMPRODUCT((DV3:DV42=AY27)*(DY3:DY42=AY26)*(EG3:EG42="L"))+SUMPRODUCT((DV3:DV42=AY28)*(DY3:DY42=AY26)*(EG3:EG42="L"))+SUMPRODUCT((DV3:DV42=AY29)*(DY3:DY42=AY26)*(EG3:EG42="L"))</f>
        <v>0</v>
      </c>
      <c r="BC26" s="75">
        <f>IF(AY26&lt;&gt;"",VLOOKUP(AY26,B4:F29,5,FALSE),0)</f>
        <v>0</v>
      </c>
      <c r="BD26" s="75">
        <f>IF(AY26&lt;&gt;"",VLOOKUP(AY26,B4:G29,6,FALSE),0)</f>
        <v>0</v>
      </c>
      <c r="BE26" s="75">
        <f>BC26-BD26+1000</f>
        <v>1000</v>
      </c>
      <c r="BF26" s="75">
        <f>IF(AY26&lt;&gt;"",VLOOKUP(AY26,B4:I29,8,FALSE),0)</f>
        <v>0</v>
      </c>
      <c r="BG26" s="75">
        <f>IF(AY26&lt;&gt;"",VLOOKUP(AY26,B4:J29,9,FALSE),0)</f>
        <v>0</v>
      </c>
      <c r="BH26" s="75">
        <f>BF26-BG26+1000</f>
        <v>1000</v>
      </c>
      <c r="BI26" s="75" t="str">
        <f>IF(AY26&lt;&gt;"",VLOOKUP(AY26,B25:F29,5,FALSE),"")</f>
        <v/>
      </c>
      <c r="BJ26" s="75" t="str">
        <f>IF(AY26&lt;&gt;"",VLOOKUP(AY26,B25:I29,8,FALSE),"")</f>
        <v/>
      </c>
      <c r="BK26" s="75" t="str">
        <f>IF(AY26&lt;&gt;"",VLOOKUP(AY26,B25:P29,15,FALSE),"")</f>
        <v/>
      </c>
      <c r="BL26" s="75">
        <f>SUMPRODUCT((DV3:DV42=AY26)*(DY3:DY42=AY27)*EB3:EB42)+SUMPRODUCT((DV3:DV42=AY26)*(DY3:DY42=AY28)*EB3:EB42)+SUMPRODUCT((DV3:DV42=AY26)*(DY3:DY42=AY29)*EB3:EB42)+SUMPRODUCT((DV3:DV42=AY27)*(DY3:DY42=AY26)*EC3:EC42)+SUMPRODUCT((DV3:DV42=AY28)*(DY3:DY42=AY26)*EC3:EC42)+SUMPRODUCT((DV3:DV42=AY29)*(DY3:DY42=AY26)*EC3:EC42)</f>
        <v>0</v>
      </c>
      <c r="BM26" s="75">
        <f>SUMPRODUCT((DV3:DV42=AY26)*(DY3:DY42=AY27)*ED3:ED42)+SUMPRODUCT((DV3:DV42=AY26)*(DY3:DY42=AY28)*ED3:ED42)+SUMPRODUCT((DV3:DV42=AY26)*(DY3:DY42=AY29)*ED3:ED42)+SUMPRODUCT((DV3:DV42=AY27)*(DY3:DY42=AY26)*EE3:EE42)+SUMPRODUCT((DV3:DV42=AY28)*(DY3:DY42=AY26)*EE3:EE42)+SUMPRODUCT((DV3:DV42=AY29)*(DY3:DY42=AY26)*EE3:EE42)</f>
        <v>0</v>
      </c>
      <c r="BN26" s="75">
        <f>AZ26*4+BA26*2+BL26+BM26</f>
        <v>0</v>
      </c>
      <c r="BO26" s="75" t="str">
        <f>IF(AY26&lt;&gt;"",RANK(BN26,BN26:BN29),"")</f>
        <v/>
      </c>
      <c r="BP26" s="75">
        <f>SUMPRODUCT((BN26:BN29=BN26)*(BE26:BE29&gt;BE26))</f>
        <v>0</v>
      </c>
      <c r="BQ26" s="75">
        <f>SUMPRODUCT((BN26:BN29=BN26)*(BE26:BE29=BE26)*(BH26:BH29&gt;BH26))</f>
        <v>0</v>
      </c>
      <c r="BR26" s="75">
        <f>SUMPRODUCT((BN25:BN29=BN26)*(BE25:BE29=BE26)*(BH25:BH29=BH26)*(BI25:BI29&gt;BI26))</f>
        <v>0</v>
      </c>
      <c r="BS26" s="75">
        <f>SUMPRODUCT((BN25:BN29=BN26)*(BE25:BE29=BE26)*(BH25:BH29=BH26)*(BI25:BI29=BI26)*(BJ25:BJ29&gt;BJ26))</f>
        <v>0</v>
      </c>
      <c r="BT26" s="75">
        <f>SUMPRODUCT((BN25:BN29=BN26)*(BE25:BE29=BE26)*(BH25:BH29=BH26)*(BI25:BI29=BI26)*(BJ25:BJ29=BJ26)*(BK25:BK29&gt;BK26))</f>
        <v>0</v>
      </c>
      <c r="BU26" s="75" t="str">
        <f t="shared" ref="BU26:BU29" si="165">IF(AY26&lt;&gt;"",SUM(BO26:BT26)+1,"")</f>
        <v/>
      </c>
      <c r="BV26" s="75" t="str">
        <f>IF(AY26&lt;&gt;"",INDEX(AY26:AY29,MATCH(2,BU26:BU29,0),0),"")</f>
        <v/>
      </c>
      <c r="DS26" s="75" t="str">
        <f>IF(BV26&lt;&gt;"",BV26,IF(AX26&lt;&gt;"",AX26,T26))</f>
        <v>Romania</v>
      </c>
      <c r="DT26" s="75">
        <v>2</v>
      </c>
      <c r="DU26" s="75">
        <v>24</v>
      </c>
      <c r="DV26" s="75" t="str">
        <f>Tournament!H36</f>
        <v>Samoa</v>
      </c>
      <c r="DW26" s="75">
        <f>IF(AND(Tournament!J36&lt;&gt;"",Tournament!L36&lt;&gt;""),Tournament!J36,0)</f>
        <v>0</v>
      </c>
      <c r="DX26" s="75">
        <f>IF(AND(Tournament!L36&lt;&gt;"",Tournament!J36&lt;&gt;""),Tournament!L36,0)</f>
        <v>0</v>
      </c>
      <c r="DY26" s="75" t="str">
        <f>Tournament!N36</f>
        <v>Japan</v>
      </c>
      <c r="DZ26" s="75">
        <f>IF(Tournament!O36&lt;&gt;"",Tournament!O36,0)</f>
        <v>0</v>
      </c>
      <c r="EA26" s="75">
        <f>IF(Tournament!Q36&lt;&gt;"",Tournament!Q36,0)</f>
        <v>0</v>
      </c>
      <c r="EB26" s="75">
        <f>IF(DW26&lt;&gt;"",IF(Tournament!O36&gt;3,1,0),0)</f>
        <v>1</v>
      </c>
      <c r="EC26" s="75">
        <f>IF(DX26&lt;&gt;"",IF(Tournament!Q36&gt;3,1,0),0)</f>
        <v>1</v>
      </c>
      <c r="ED26" s="75">
        <f t="shared" si="1"/>
        <v>0</v>
      </c>
      <c r="EE26" s="75">
        <f t="shared" si="2"/>
        <v>0</v>
      </c>
      <c r="EF26" s="75" t="str">
        <f>IF(AND(Tournament!J36&lt;&gt;"",Tournament!L36&lt;&gt;""),IF(DW26&gt;DX26,"W",IF(DW26=DX26,"D","L")),"")</f>
        <v/>
      </c>
      <c r="EG26" s="75" t="str">
        <f t="shared" si="3"/>
        <v/>
      </c>
      <c r="EH26" s="75">
        <f ca="1">VLOOKUP(EI26,IZ25:JA29,2,FALSE)</f>
        <v>5</v>
      </c>
      <c r="EI26" s="75" t="s">
        <v>37</v>
      </c>
      <c r="EJ26" s="75">
        <f t="shared" ca="1" si="150"/>
        <v>0</v>
      </c>
      <c r="EK26" s="75">
        <f t="shared" ca="1" si="151"/>
        <v>0</v>
      </c>
      <c r="EL26" s="75">
        <f t="shared" ca="1" si="152"/>
        <v>0</v>
      </c>
      <c r="EM26" s="75">
        <f t="shared" ca="1" si="153"/>
        <v>0</v>
      </c>
      <c r="EN26" s="75">
        <f t="shared" ref="EN26:EN29" ca="1" si="166">SUMIF(JF$3:JF$60,EI26,JD$3:JD$60)+SUMIF(JC$3:JC$60,EI26,JE$3:JE$60)</f>
        <v>0</v>
      </c>
      <c r="EO26" s="75">
        <f t="shared" ca="1" si="154"/>
        <v>1000</v>
      </c>
      <c r="EP26" s="75">
        <f t="shared" ref="EP26:EP29" ca="1" si="167">SUMIF(JC:JC,EI26,JG:JG)+SUMIF(JF:JF,EI26,JH:JH)</f>
        <v>0</v>
      </c>
      <c r="EQ26" s="75">
        <f t="shared" ref="EQ26:EQ29" ca="1" si="168">SUMIF(JF:JF,EI26,JG:JG)+SUMIF(JC:JC,EI26,JH:JH)</f>
        <v>0</v>
      </c>
      <c r="ER26" s="75">
        <f t="shared" ca="1" si="155"/>
        <v>1000</v>
      </c>
      <c r="ES26" s="75">
        <f t="shared" ca="1" si="156"/>
        <v>0</v>
      </c>
      <c r="ET26" s="75">
        <f ca="1">SUMIF(JC:JC,EI26,JI:JI)+SUMIF(JF:JF,EI26,JJ:JJ)</f>
        <v>0</v>
      </c>
      <c r="EU26" s="75">
        <f ca="1">SUMIF(JC:JC,EI26,JK:JK)+SUMIF(JF:JF,EI26,JL:JL)</f>
        <v>0</v>
      </c>
      <c r="EV26" s="75">
        <f t="shared" ca="1" si="157"/>
        <v>0</v>
      </c>
      <c r="EW26" s="75">
        <v>3</v>
      </c>
      <c r="EX26" s="75">
        <f t="shared" ref="EX26:EX29" ca="1" si="169">RANK(EV26,EV$25:EV$29)</f>
        <v>1</v>
      </c>
      <c r="EZ26" s="75">
        <f ca="1">RANK(EV26,EV$25:EV$29)+COUNTIF(EV$25:EV26,EV26)-1</f>
        <v>2</v>
      </c>
      <c r="FA26" s="75" t="str">
        <f ca="1">INDEX(EI$25:EI$29,MATCH(2,EZ$25:EZ$29,0),0)</f>
        <v>Ireland</v>
      </c>
      <c r="FB26" s="75">
        <f t="shared" ref="FB26:FB29" ca="1" si="170">INDEX(EX$25:EX$29,MATCH(FA26,EI$25:EI$29,0),0)</f>
        <v>1</v>
      </c>
      <c r="FC26" s="75" t="str">
        <f ca="1">IF(FC25&lt;&gt;"",FA26,"")</f>
        <v>Ireland</v>
      </c>
      <c r="FD26" s="75" t="str">
        <f ca="1">IF(FD25&lt;&gt;"",FA27,"")</f>
        <v/>
      </c>
      <c r="FE26" s="75" t="str">
        <f ca="1">IF(FE25&lt;&gt;"",FA28,"")</f>
        <v/>
      </c>
      <c r="FF26" s="75" t="str">
        <f ca="1">IF(FF25&lt;&gt;"",FA29,"")</f>
        <v/>
      </c>
      <c r="FH26" s="75" t="str">
        <f t="shared" ref="FH26:FH29" ca="1" si="171">IF(FC26&lt;&gt;"",FC26,"")</f>
        <v>Ireland</v>
      </c>
      <c r="FI26" s="75">
        <f ca="1">SUMPRODUCT((JC3:JC42=FH26)*(JF3:JF42=FH27)*(JM3:JM42="W"))+SUMPRODUCT((JC3:JC42=FH26)*(JF3:JF42=FH28)*(JM3:JM42="W"))+SUMPRODUCT((JC3:JC42=FH26)*(JF3:JF42=FH29)*(JM3:JM42="W"))+SUMPRODUCT((JC3:JC42=FH26)*(JF3:JF42=FH25)*(JM3:JM42="W"))+SUMPRODUCT((JC3:JC42=FH27)*(JF3:JF42=FH26)*(JN3:JN42="W"))+SUMPRODUCT((JC3:JC42=FH28)*(JF3:JF42=FH26)*(JN3:JN42="W"))+SUMPRODUCT((JC3:JC42=FH29)*(JF3:JF42=FH26)*(JN3:JN42="W"))+SUMPRODUCT((JC3:JC42=FH25)*(JF3:JF42=FH26)*(JN3:JN42="W"))</f>
        <v>0</v>
      </c>
      <c r="FJ26" s="75">
        <f ca="1">SUMPRODUCT((JC3:JC42=FH26)*(JF3:JF42=FH27)*(JM3:JM42="D"))+SUMPRODUCT((JC3:JC42=FH26)*(JF3:JF42=FH28)*(JM3:JM42="D"))+SUMPRODUCT((JC3:JC42=FH26)*(JF3:JF42=FH29)*(JM3:JM42="D"))+SUMPRODUCT((JC3:JC42=FH26)*(JF3:JF42=FH25)*(JM3:JM42="D"))+SUMPRODUCT((JC3:JC42=FH27)*(JF3:JF42=FH26)*(JM3:JM42="D"))+SUMPRODUCT((JC3:JC42=FH28)*(JF3:JF42=FH26)*(JM3:JM42="D"))+SUMPRODUCT((JC3:JC42=FH29)*(JF3:JF42=FH26)*(JM3:JM42="D"))+SUMPRODUCT((JC3:JC42=FH25)*(JF3:JF42=FH26)*(JM3:JM42="D"))</f>
        <v>0</v>
      </c>
      <c r="FK26" s="75">
        <f ca="1">SUMPRODUCT((JC3:JC42=FH26)*(JF3:JF42=FH27)*(JM3:JM42="L"))+SUMPRODUCT((JC3:JC42=FH26)*(JF3:JF42=FH28)*(JM3:JM42="L"))+SUMPRODUCT((JC3:JC42=FH26)*(JF3:JF42=FH29)*(JM3:JM42="L"))+SUMPRODUCT((JC3:JC42=FH26)*(JF3:JF42=FH25)*(JM3:JM42="L"))+SUMPRODUCT((JC3:JC42=FH27)*(JF3:JF42=FH26)*(JN3:JN42="L"))+SUMPRODUCT((JC3:JC42=FH28)*(JF3:JF42=FH26)*(JN3:JN42="L"))+SUMPRODUCT((JC3:JC42=FH29)*(JF3:JF42=FH26)*(JN3:JN42="L"))+SUMPRODUCT((JC3:JC42=FH25)*(JF3:JF42=FH26)*(JN3:JN42="L"))</f>
        <v>0</v>
      </c>
      <c r="FL26" s="75">
        <f ca="1">IF(FH26&lt;&gt;"",VLOOKUP(FH26,EI4:EM29,5,FALSE),0)</f>
        <v>0</v>
      </c>
      <c r="FM26" s="75">
        <f ca="1">IF(FH26&lt;&gt;"",VLOOKUP(FH26,EI4:EN29,6,FALSE),0)</f>
        <v>0</v>
      </c>
      <c r="FN26" s="75">
        <f ca="1">FL26-FM26+1000</f>
        <v>1000</v>
      </c>
      <c r="FO26" s="75">
        <f ca="1">IF(FH26&lt;&gt;"",VLOOKUP(FH26,EI4:EP29,8,FALSE),0)</f>
        <v>0</v>
      </c>
      <c r="FP26" s="75">
        <f ca="1">IF(FH26&lt;&gt;"",VLOOKUP(FH26,EI4:EQ29,9,FALSE),0)</f>
        <v>0</v>
      </c>
      <c r="FQ26" s="75">
        <f t="shared" ref="FQ26" ca="1" si="172">FO26-FP26+1000</f>
        <v>1000</v>
      </c>
      <c r="FR26" s="75">
        <f ca="1">IF(FH26&lt;&gt;"",VLOOKUP(FH26,EI25:EM29,5,FALSE),"")</f>
        <v>0</v>
      </c>
      <c r="FS26" s="75">
        <f ca="1">IF(FH26&lt;&gt;"",VLOOKUP(FH26,EI25:EP29,8,FALSE),"")</f>
        <v>0</v>
      </c>
      <c r="FT26" s="75">
        <f ca="1">IF(FH26&lt;&gt;"",VLOOKUP(FH26,EI25:EW29,15,FALSE),"")</f>
        <v>3</v>
      </c>
      <c r="FU26" s="75">
        <f ca="1">SUMPRODUCT((JC3:JC42=FH26)*(JF3:JF42=FH27)*JI3:JI42)+SUMPRODUCT((JC3:JC42=FH26)*(JF3:JF42=FH28)*JI3:JI42)+SUMPRODUCT((JC3:JC42=FH26)*(JF3:JF42=FH29)*JI3:JI42)+SUMPRODUCT((JC3:JC42=FH26)*(JF3:JF42=FH25)*JI3:JI42)+SUMPRODUCT((JC3:JC42=FH27)*(JF3:JF42=FH26)*JJ3:JJ42)+SUMPRODUCT((JC3:JC42=FH28)*(JF3:JF42=FH26)*JJ3:JJ42)+SUMPRODUCT((JC3:JC42=FH29)*(JF3:JF42=FH26)*JJ3:JJ42)+SUMPRODUCT((JC3:JC42=FH25)*(JF3:JF42=FH26)*JJ3:JJ42)</f>
        <v>0</v>
      </c>
      <c r="FV26" s="75">
        <f ca="1">SUMPRODUCT((JC3:JC42=FH26)*(JF3:JF42=FH27)*JK3:JK42)+SUMPRODUCT((JC3:JC42=FH26)*(JF3:JF42=FH28)*JK3:JK42)+SUMPRODUCT((JC3:JC42=FH26)*(JF3:JF42=FH29)*JK3:JK42)+SUMPRODUCT((JC3:JC42=FH26)*(JF3:JF42=FH25)*JK3:JK42)+SUMPRODUCT((JC3:JC42=FH27)*(JF3:JF42=FH26)*JL3:JL42)+SUMPRODUCT((JC3:JC42=FH28)*(JF3:JF42=FH26)*JL3:JL42)+SUMPRODUCT((JC3:JC42=FH29)*(JF3:JF42=FH26)*JL3:JL42)+SUMPRODUCT((JC3:JC42=FH25)*(JF3:JF42=FH26)*JL3:JL42)</f>
        <v>0</v>
      </c>
      <c r="FW26" s="75">
        <f t="shared" ref="FW26" ca="1" si="173">FI26*4+FJ26*2+FU26+FV26</f>
        <v>0</v>
      </c>
      <c r="FX26" s="75">
        <f ca="1">IF(FH26&lt;&gt;"",RANK(FW26,FW25:FW29),"")</f>
        <v>1</v>
      </c>
      <c r="FY26" s="75">
        <f ca="1">SUMPRODUCT((FW25:FW29=FW26)*(FN25:FN29&gt;FN26))</f>
        <v>0</v>
      </c>
      <c r="FZ26" s="75">
        <f ca="1">SUMPRODUCT((FW25:FW29=FW26)*(FN25:FN29=FN26)*(FQ25:FQ29&gt;FQ26))</f>
        <v>0</v>
      </c>
      <c r="GA26" s="75">
        <f ca="1">SUMPRODUCT((FW25:FW29=FW26)*(FN25:FN29=FN26)*(FQ25:FQ29=FQ26)*(FR25:FR29&gt;FR26))</f>
        <v>0</v>
      </c>
      <c r="GB26" s="75">
        <f ca="1">SUMPRODUCT((FW25:FW29=FW26)*(FN25:FN29=FN26)*(FQ25:FQ29=FQ26)*(FR25:FR29=FR26)*(FS25:FS29&gt;FS26))</f>
        <v>0</v>
      </c>
      <c r="GC26" s="75">
        <f ca="1">SUMPRODUCT((FW25:FW29=FW26)*(FN25:FN29=FN26)*(FQ25:FQ29=FQ26)*(FR25:FR29=FR26)*(FS25:FS29=FS26)*(FT25:FT29&gt;FT26))</f>
        <v>4</v>
      </c>
      <c r="GD26" s="75">
        <f t="shared" ref="GD26:GD29" ca="1" si="174">IF(FH26&lt;&gt;"",SUM(FX26:GC26),"")</f>
        <v>5</v>
      </c>
      <c r="GE26" s="75" t="str">
        <f ca="1">IF(FH26&lt;&gt;"",INDEX(FH25:FH29,MATCH(2,GD25:GD29,0),0),"")</f>
        <v>Romania</v>
      </c>
      <c r="GF26" s="75" t="str">
        <f ca="1">IF(FD25&lt;&gt;"",FD25,"")</f>
        <v/>
      </c>
      <c r="GG26" s="75">
        <f ca="1">SUMPRODUCT((JC3:JC42=GF26)*(JF3:JF42=GF27)*(JM3:JM42="W"))+SUMPRODUCT((JC3:JC42=GF26)*(JF3:JF42=GF28)*(JM3:JM42="W"))+SUMPRODUCT((JC3:JC42=GF26)*(JF3:JF42=GF29)*(JM3:JM42="W"))+SUMPRODUCT((JC3:JC42=GF27)*(JF3:JF42=GF26)*(JN3:JN42="W"))+SUMPRODUCT((JC3:JC42=GF28)*(JF3:JF42=GF26)*(JN3:JN42="W"))+SUMPRODUCT((JC3:JC42=GF29)*(JF3:JF42=GF26)*(JN3:JN42="W"))</f>
        <v>0</v>
      </c>
      <c r="GH26" s="75">
        <f ca="1">SUMPRODUCT((JC3:JC42=GF26)*(JF3:JF42=GF27)*(JM3:JM42="D"))+SUMPRODUCT((JC3:JC42=GF26)*(JF3:JF42=GF28)*(JM3:JM42="D"))+SUMPRODUCT((JC3:JC42=GF26)*(JF3:JF42=GF29)*(JM3:JM42="D"))+SUMPRODUCT((JC3:JC42=GF27)*(JF3:JF42=GF26)*(JM3:JM42="D"))+SUMPRODUCT((JC3:JC42=GF28)*(JF3:JF42=GF26)*(JM3:JM42="D"))+SUMPRODUCT((JC3:JC42=GF29)*(JF3:JF42=GF26)*(JM3:JM42="D"))</f>
        <v>0</v>
      </c>
      <c r="GI26" s="75">
        <f ca="1">SUMPRODUCT((JC3:JC42=GF26)*(JF3:JF42=GF27)*(JM3:JM42="L"))+SUMPRODUCT((JC3:JC42=GF26)*(JF3:JF42=GF28)*(JM3:JM42="L"))+SUMPRODUCT((JC3:JC42=GF26)*(JF3:JF42=GF29)*(JM3:JM42="L"))+SUMPRODUCT((JC3:JC42=GF27)*(JF3:JF42=GF26)*(JN3:JN42="L"))+SUMPRODUCT((JC3:JC42=GF28)*(JF3:JF42=GF26)*(JN3:JN42="L"))+SUMPRODUCT((JC3:JC42=GF29)*(JF3:JF42=GF26)*(JN3:JN42="L"))</f>
        <v>0</v>
      </c>
      <c r="GJ26" s="75">
        <f ca="1">IF(GF26&lt;&gt;"",VLOOKUP(GF26,EI4:EM29,5,FALSE),0)</f>
        <v>0</v>
      </c>
      <c r="GK26" s="75">
        <f ca="1">IF(GF26&lt;&gt;"",VLOOKUP(GF26,EI4:EN29,6,FALSE),0)</f>
        <v>0</v>
      </c>
      <c r="GL26" s="75">
        <f ca="1">GJ26-GK26+1000</f>
        <v>1000</v>
      </c>
      <c r="GM26" s="75">
        <f ca="1">IF(GF26&lt;&gt;"",VLOOKUP(GF26,EI4:EP29,8,FALSE),0)</f>
        <v>0</v>
      </c>
      <c r="GN26" s="75">
        <f ca="1">IF(GF26&lt;&gt;"",VLOOKUP(GF26,EI4:EQ29,9,FALSE),0)</f>
        <v>0</v>
      </c>
      <c r="GO26" s="75">
        <f ca="1">GM26-GN26+1000</f>
        <v>1000</v>
      </c>
      <c r="GP26" s="75" t="str">
        <f ca="1">IF(GF26&lt;&gt;"",VLOOKUP(GF26,EI25:EM29,5,FALSE),"")</f>
        <v/>
      </c>
      <c r="GQ26" s="75" t="str">
        <f ca="1">IF(GF26&lt;&gt;"",VLOOKUP(GF26,EI25:EP29,8,FALSE),"")</f>
        <v/>
      </c>
      <c r="GR26" s="75" t="str">
        <f ca="1">IF(GF26&lt;&gt;"",VLOOKUP(GF26,EI25:EW29,15,FALSE),"")</f>
        <v/>
      </c>
      <c r="GS26" s="75">
        <f ca="1">SUMPRODUCT((JC3:JC42=GF26)*(JF3:JF42=GF27)*JI3:JI42)+SUMPRODUCT((JC3:JC42=GF26)*(JF3:JF42=GF28)*JI3:JI42)+SUMPRODUCT((JC3:JC42=GF26)*(JF3:JF42=GF29)*JI3:JI42)+SUMPRODUCT((JC3:JC42=GF27)*(JF3:JF42=GF26)*JJ3:JJ42)+SUMPRODUCT((JC3:JC42=GF28)*(JF3:JF42=GF26)*JJ3:JJ42)+SUMPRODUCT((JC3:JC42=GF29)*(JF3:JF42=GF26)*JJ3:JJ42)</f>
        <v>0</v>
      </c>
      <c r="GT26" s="75">
        <f ca="1">SUMPRODUCT((JC3:JC42=GF26)*(JF3:JF42=GF27)*JK3:JK42)+SUMPRODUCT((JC3:JC42=GF26)*(JF3:JF42=GF28)*JK3:JK42)+SUMPRODUCT((JC3:JC42=GF26)*(JF3:JF42=GF29)*JK3:JK42)+SUMPRODUCT((JC3:JC42=GF27)*(JF3:JF42=GF26)*JL3:JL42)+SUMPRODUCT((JC3:JC42=GF28)*(JF3:JF42=GF26)*JL3:JL42)+SUMPRODUCT((JC3:JC42=GF29)*(JF3:JF42=GF26)*JL3:JL42)</f>
        <v>0</v>
      </c>
      <c r="GU26" s="75">
        <f ca="1">GG26*4+GH26*2+GS26+GT26</f>
        <v>0</v>
      </c>
      <c r="GV26" s="75" t="str">
        <f ca="1">IF(GF26&lt;&gt;"",RANK(GU26,GU26:GU29),"")</f>
        <v/>
      </c>
      <c r="GW26" s="75">
        <f ca="1">SUMPRODUCT((GU26:GU29=GU26)*(GL26:GL29&gt;GL26))</f>
        <v>0</v>
      </c>
      <c r="GX26" s="75">
        <f ca="1">SUMPRODUCT((GU26:GU29=GU26)*(GL26:GL29=GL26)*(GO26:GO29&gt;GO26))</f>
        <v>0</v>
      </c>
      <c r="GY26" s="75">
        <f ca="1">SUMPRODUCT((GU25:GU29=GU26)*(GL25:GL29=GL26)*(GO25:GO29=GO26)*(GP25:GP29&gt;GP26))</f>
        <v>0</v>
      </c>
      <c r="GZ26" s="75">
        <f ca="1">SUMPRODUCT((GU25:GU29=GU26)*(GL25:GL29=GL26)*(GO25:GO29=GO26)*(GP25:GP29=GP26)*(GQ25:GQ29&gt;GQ26))</f>
        <v>0</v>
      </c>
      <c r="HA26" s="75">
        <f ca="1">SUMPRODUCT((GU25:GU29=GU26)*(GL25:GL29=GL26)*(GO25:GO29=GO26)*(GP25:GP29=GP26)*(GQ25:GQ29=GQ26)*(GR25:GR29&gt;GR26))</f>
        <v>0</v>
      </c>
      <c r="HB26" s="75" t="str">
        <f t="shared" ref="HB26:HB29" ca="1" si="175">IF(GF26&lt;&gt;"",SUM(GV26:HA26)+1,"")</f>
        <v/>
      </c>
      <c r="HC26" s="75" t="str">
        <f ca="1">IF(GF26&lt;&gt;"",INDEX(GF26:GF29,MATCH(2,HB26:HB29,0),0),"")</f>
        <v/>
      </c>
      <c r="IZ26" s="75" t="str">
        <f ca="1">IF(HC26&lt;&gt;"",HC26,IF(GE26&lt;&gt;"",GE26,FA26))</f>
        <v>Romania</v>
      </c>
      <c r="JA26" s="75">
        <v>2</v>
      </c>
      <c r="JB26" s="75">
        <v>24</v>
      </c>
      <c r="JC26" s="75" t="str">
        <f t="shared" si="4"/>
        <v>Samoa</v>
      </c>
      <c r="JD26" s="75" t="str">
        <f ca="1">IF(OFFSET('Prediction Sheet'!$W36,0,JD$1)&lt;&gt;"",OFFSET('Prediction Sheet'!$W36,0,JD$1),"")</f>
        <v/>
      </c>
      <c r="JE26" s="75" t="str">
        <f ca="1">IF(OFFSET('Prediction Sheet'!$Y36,0,JD$1)&lt;&gt;"",OFFSET('Prediction Sheet'!$Y36,0,JD$1),"")</f>
        <v/>
      </c>
      <c r="JF26" s="75" t="str">
        <f t="shared" si="5"/>
        <v>Japan</v>
      </c>
      <c r="JG26" s="75" t="str">
        <f ca="1">IF(OFFSET('Prediction Sheet'!$AA36,0,JF$1)&lt;&gt;"",OFFSET('Prediction Sheet'!$AA36,0,JF$1),"")</f>
        <v/>
      </c>
      <c r="JH26" s="75" t="str">
        <f ca="1">IF(OFFSET('Prediction Sheet'!$AC36,0,JG$1)&lt;&gt;"",OFFSET('Prediction Sheet'!$AC36,0,JG$1),"")</f>
        <v/>
      </c>
      <c r="JI26" s="75">
        <f t="shared" ca="1" si="6"/>
        <v>0</v>
      </c>
      <c r="JJ26" s="75">
        <f t="shared" ca="1" si="7"/>
        <v>0</v>
      </c>
      <c r="JK26" s="75">
        <f t="shared" ca="1" si="8"/>
        <v>0</v>
      </c>
      <c r="JL26" s="75">
        <f t="shared" ca="1" si="9"/>
        <v>0</v>
      </c>
      <c r="JM26" s="75" t="str">
        <f t="shared" ca="1" si="10"/>
        <v/>
      </c>
      <c r="JN26" s="75" t="str">
        <f t="shared" ca="1" si="11"/>
        <v/>
      </c>
    </row>
    <row r="27" spans="1:274" x14ac:dyDescent="0.2">
      <c r="A27" s="75">
        <f>VLOOKUP(B27,DS25:DT29,2,FALSE)</f>
        <v>3</v>
      </c>
      <c r="B27" s="75" t="s">
        <v>17</v>
      </c>
      <c r="C27" s="75">
        <f t="shared" si="142"/>
        <v>0</v>
      </c>
      <c r="D27" s="75">
        <f t="shared" si="143"/>
        <v>0</v>
      </c>
      <c r="E27" s="75">
        <f t="shared" si="144"/>
        <v>0</v>
      </c>
      <c r="F27" s="75">
        <f>SUMIF($DV$3:$DV$60,B27,$DW$3:$DW$60)+SUMIF($DY$3:$DY$60,B27,$DX$3:$DX$60)</f>
        <v>0</v>
      </c>
      <c r="G27" s="75">
        <f>SUMIF($DY$3:$DY$60,B27,$DW$3:$DW$60)+SUMIF($DV$3:$DV$60,B27,$DX$3:$DX$60)</f>
        <v>0</v>
      </c>
      <c r="H27" s="75">
        <f t="shared" si="145"/>
        <v>1000</v>
      </c>
      <c r="I27" s="75">
        <f>SUMIF(Tournament!$H$13:$H$52,B27,Tournament!$O$13:$O$52)+SUMIF(Tournament!$N$13:$N$52,B27,Tournament!$Q$13:$Q$52)</f>
        <v>0</v>
      </c>
      <c r="J27" s="75">
        <f>SUMIF(Tournament!$N$13:$N$52,B27,Tournament!$O$13:$O$52)+SUMIF(Tournament!$H$13:$H$52,B27,Tournament!$Q$13:$Q$52)</f>
        <v>0</v>
      </c>
      <c r="K27" s="75">
        <f t="shared" si="146"/>
        <v>1000</v>
      </c>
      <c r="L27" s="75">
        <f t="shared" si="147"/>
        <v>0</v>
      </c>
      <c r="M27" s="75">
        <f>SUMIF(DV:DV,B27,EB:EB)+SUMIF(DY:DY,B27,EC:EC)</f>
        <v>4</v>
      </c>
      <c r="N27" s="75">
        <f>SUMIF(DV:DV,B27,ED:ED)+SUMIF(DY:DY,B27,EE:EE)</f>
        <v>0</v>
      </c>
      <c r="O27" s="75">
        <f t="shared" si="148"/>
        <v>4</v>
      </c>
      <c r="P27" s="75">
        <v>15</v>
      </c>
      <c r="Q27" s="75">
        <f t="shared" si="159"/>
        <v>1</v>
      </c>
      <c r="S27" s="75">
        <f>RANK(O27,$O$25:$O$29)+COUNTIF($O$25:O27,O27)-1</f>
        <v>3</v>
      </c>
      <c r="T27" s="75" t="str">
        <f>INDEX($B$25:$B$29,MATCH(3,$S$25:$S$29,0),0)</f>
        <v>Italy</v>
      </c>
      <c r="U27" s="75">
        <f t="shared" si="160"/>
        <v>1</v>
      </c>
      <c r="V27" s="75" t="str">
        <f>IF(AND(V26&lt;&gt;"",U27=1),T27,"")</f>
        <v>Italy</v>
      </c>
      <c r="W27" s="75" t="str">
        <f>IF(AND(W26&lt;&gt;"",U28=2),T28,"")</f>
        <v/>
      </c>
      <c r="X27" s="75" t="str">
        <f>IF(AND(X26&lt;&gt;"",U29=3),T29,"")</f>
        <v/>
      </c>
      <c r="AA27" s="75" t="str">
        <f t="shared" si="161"/>
        <v>Italy</v>
      </c>
      <c r="AB27" s="75">
        <f>SUMPRODUCT((DV3:DV42=AA27)*(DY3:DY42=AA28)*(EF3:EF42="W"))+SUMPRODUCT((DV3:DV42=AA27)*(DY3:DY42=AA29)*(EF3:EF42="W"))+SUMPRODUCT((DV3:DV42=AA27)*(DY3:DY42=AA25)*(EF3:EF42="W"))+SUMPRODUCT((DV3:DV42=AA27)*(DY3:DY42=AA26)*(EF3:EF42="W"))+SUMPRODUCT((DV3:DV42=AA28)*(DY3:DY42=AA27)*(EG3:EG42="W"))+SUMPRODUCT((DV3:DV42=AA29)*(DY3:DY42=AA27)*(EG3:EG42="W"))+SUMPRODUCT((DV3:DV42=AA25)*(DY3:DY42=AA27)*(EG3:EG42="W"))+SUMPRODUCT((DV3:DV42=AA26)*(DY3:DY42=AA27)*(EG3:EG42="W"))</f>
        <v>0</v>
      </c>
      <c r="AC27" s="75">
        <f>SUMPRODUCT((DV3:DV42=AA27)*(DY3:DY42=AA28)*(EF3:EF42="D"))+SUMPRODUCT((DV3:DV42=AA27)*(DY3:DY42=AA29)*(EF3:EF42="D"))+SUMPRODUCT((DV3:DV42=AA27)*(DY3:DY42=AA25)*(EF3:EF42="D"))+SUMPRODUCT((DV3:DV42=AA27)*(DY3:DY42=AA26)*(EF3:EF42="D"))+SUMPRODUCT((DV3:DV42=AA28)*(DY3:DY42=AA27)*(EF3:EF42="D"))+SUMPRODUCT((DV3:DV42=AA29)*(DY3:DY42=AA27)*(EF3:EF42="D"))+SUMPRODUCT((DV3:DV42=AA25)*(DY3:DY42=AA27)*(EF3:EF42="D"))+SUMPRODUCT((DV3:DV42=AA26)*(DY3:DY42=AA27)*(EF3:EF42="D"))</f>
        <v>0</v>
      </c>
      <c r="AD27" s="75">
        <f>SUMPRODUCT((DV3:DV42=AA27)*(DY3:DY42=AA28)*(EF3:EF42="L"))+SUMPRODUCT((DV3:DV42=AA27)*(DY3:DY42=AA29)*(EF3:EF42="L"))+SUMPRODUCT((DV3:DV42=AA27)*(DY3:DY42=AA25)*(EF3:EF42="L"))+SUMPRODUCT((DV3:DV42=AA27)*(DY3:DY42=AA26)*(EF3:EF42="L"))+SUMPRODUCT((DV3:DV42=AA28)*(DY3:DY42=AA27)*(EG3:EG42="L"))+SUMPRODUCT((DV3:DV42=AA29)*(DY3:DY42=AA27)*(EG3:EG42="L"))+SUMPRODUCT((DV3:DV42=AA25)*(DY3:DY42=AA27)*(EG3:EG42="L"))+SUMPRODUCT((DV3:DV42=AA26)*(DY3:DY42=AA27)*(EG3:EG42="L"))</f>
        <v>0</v>
      </c>
      <c r="AE27" s="75">
        <f>IF(AA27&lt;&gt;"",VLOOKUP(AA27,B4:F29,5,FALSE),0)</f>
        <v>0</v>
      </c>
      <c r="AF27" s="75">
        <f>IF(AA27&lt;&gt;"",VLOOKUP(AA27,B4:G29,6,FALSE),0)</f>
        <v>0</v>
      </c>
      <c r="AG27" s="75">
        <f>AE27-AF27+1000</f>
        <v>1000</v>
      </c>
      <c r="AH27" s="75">
        <f>IF(AA27&lt;&gt;"",VLOOKUP(AA27,B4:I29,8,FALSE),0)</f>
        <v>0</v>
      </c>
      <c r="AI27" s="75">
        <f>IF(AA27&lt;&gt;"",VLOOKUP(AA27,B4:J29,9,FALSE),0)</f>
        <v>0</v>
      </c>
      <c r="AJ27" s="75">
        <f>IF(AA27&lt;&gt;"",AH27-AI27+1000,"")</f>
        <v>1000</v>
      </c>
      <c r="AK27" s="75">
        <f>IF(AA27&lt;&gt;"",VLOOKUP(AA27,B25:F29,5,FALSE),"")</f>
        <v>0</v>
      </c>
      <c r="AL27" s="75">
        <f>IF(AA27&lt;&gt;"",VLOOKUP(AA27,B25:I29,8,FALSE),"")</f>
        <v>0</v>
      </c>
      <c r="AM27" s="75">
        <f>IF(AA27&lt;&gt;"",VLOOKUP(AA27,B25:P29,15,FALSE),"")</f>
        <v>15</v>
      </c>
      <c r="AN27" s="75">
        <f>SUMPRODUCT((DV3:DV42=AA27)*(DY3:DY42=AA28)*EB3:EB42)+SUMPRODUCT((DV3:DV42=AA27)*(DY3:DY42=AA29)*EB3:EB42)+SUMPRODUCT((DV3:DV42=AA27)*(DY3:DY42=AA25)*EB3:EB42)+SUMPRODUCT((DV3:DV42=AA27)*(DY3:DY42=AA26)*EB3:EB42)+SUMPRODUCT((DV3:DV42=AA28)*(DY3:DY42=AA27)*EC3:EC42)+SUMPRODUCT((DV3:DV42=AA29)*(DY3:DY42=AA27)*EC3:EC42)+SUMPRODUCT((DV3:DV42=AA25)*(DY3:DY42=AA27)*EC3:EC42)+SUMPRODUCT((DV3:DV42=AA26)*(DY3:DY42=AA27)*EC3:EC42)</f>
        <v>4</v>
      </c>
      <c r="AO27" s="75">
        <f>SUMPRODUCT((DV3:DV42=AA27)*(DY3:DY42=AA28)*ED3:ED42)+SUMPRODUCT((DV3:DV42=AA27)*(DY3:DY42=AA29)*ED3:ED42)+SUMPRODUCT((DV3:DV42=AA27)*(DY3:DY42=AA25)*ED3:ED42)+SUMPRODUCT((DV3:DV42=AA27)*(DY3:DY42=AA26)*ED3:ED42)+SUMPRODUCT((DV3:DV42=AA28)*(DY3:DY42=AA27)*EE3:EE42)+SUMPRODUCT((DV3:DV42=AA29)*(DY3:DY42=AA27)*EE3:EE42)+SUMPRODUCT((DV3:DV42=AA25)*(DY3:DY42=AA27)*EE3:EE42)+SUMPRODUCT((DV3:DV42=AA26)*(DY3:DY42=AA27)*EE3:EE42)</f>
        <v>0</v>
      </c>
      <c r="AP27" s="75">
        <f>IF(AA27&lt;&gt;"",AB27*4+AC27*2+AN27+AO27,"")</f>
        <v>4</v>
      </c>
      <c r="AQ27" s="75">
        <f>IF(AA27&lt;&gt;"",RANK(AP27,AP25:AP29),"")</f>
        <v>1</v>
      </c>
      <c r="AR27" s="75">
        <f>SUMPRODUCT((AP25:AP29=AP27)*(AG25:AG29&gt;AG27))</f>
        <v>0</v>
      </c>
      <c r="AS27" s="75">
        <f>SUMPRODUCT((AP25:AP29=AP27)*(AG25:AG29=AG27)*(AJ25:AJ29&gt;AJ27))</f>
        <v>0</v>
      </c>
      <c r="AT27" s="75">
        <f>SUMPRODUCT((AP25:AP29=AP27)*(AG25:AG29=AG27)*(AJ25:AJ29=AJ27)*(AK25:AK29&gt;AK27))</f>
        <v>0</v>
      </c>
      <c r="AU27" s="75">
        <f>SUMPRODUCT((AP25:AP29=AP27)*(AG25:AG29=AG27)*(AJ25:AJ29=AJ27)*(AK25:AK29=AK27)*(AL25:AL29&gt;AL27))</f>
        <v>0</v>
      </c>
      <c r="AV27" s="75">
        <f>SUMPRODUCT((AP25:AP29=AP27)*(AG25:AG29=AG27)*(AJ25:AJ29=AJ27)*(AK25:AK29=AK27)*(AL25:AL29=AL27)*(AM25:AM29&gt;AM27))</f>
        <v>2</v>
      </c>
      <c r="AW27" s="75">
        <f t="shared" si="164"/>
        <v>3</v>
      </c>
      <c r="AX27" s="75" t="str">
        <f>IF(AA27&lt;&gt;"",INDEX(AA25:AA29,MATCH(3,AW25:AW29,0),0),"")</f>
        <v>Italy</v>
      </c>
      <c r="AY27" s="75" t="str">
        <f>IF(W26&lt;&gt;"",W26,"")</f>
        <v/>
      </c>
      <c r="AZ27" s="75">
        <f>SUMPRODUCT((DV3:DV42=AY27)*(DY3:DY42=AY28)*(EF3:EF42="W"))+SUMPRODUCT((DV3:DV42=AY27)*(DY3:DY42=AY29)*(EF3:EF42="W"))+SUMPRODUCT((DV3:DV42=AY27)*(DY3:DY42=AY26)*(EF3:EF42="W"))+SUMPRODUCT((DV3:DV42=AY28)*(DY3:DY42=AY27)*(EG3:EG42="W"))+SUMPRODUCT((DV3:DV42=AY29)*(DY3:DY42=AY27)*(EG3:EG42="W"))+SUMPRODUCT((DV3:DV42=AY26)*(DY3:DY42=AY27)*(EG3:EG42="W"))</f>
        <v>0</v>
      </c>
      <c r="BA27" s="75">
        <f>SUMPRODUCT((DV3:DV42=AY27)*(DY3:DY42=AY28)*(EF3:EF42="D"))+SUMPRODUCT((DV3:DV42=AY27)*(DY3:DY42=AY29)*(EF3:EF42="D"))+SUMPRODUCT((DV3:DV42=AY27)*(DY3:DY42=AY26)*(EF3:EF42="D"))+SUMPRODUCT((DV3:DV42=AY28)*(DY3:DY42=AY27)*(EF3:EF42="D"))+SUMPRODUCT((DV3:DV42=AY29)*(DY3:DY42=AY27)*(EF3:EF42="D"))+SUMPRODUCT((DV3:DV42=AY26)*(DY3:DY42=AY27)*(EF3:EF42="D"))</f>
        <v>0</v>
      </c>
      <c r="BB27" s="75">
        <f>SUMPRODUCT((DV3:DV42=AY27)*(DY3:DY42=AY28)*(EF3:EF42="L"))+SUMPRODUCT((DV3:DV42=AY27)*(DY3:DY42=AY29)*(EF3:EF42="L"))+SUMPRODUCT((DV3:DV42=AY27)*(DY3:DY42=AY26)*(EF3:EF42="L"))+SUMPRODUCT((DV3:DV42=AY28)*(DY3:DY42=AY27)*(EG3:EG42="L"))+SUMPRODUCT((DV3:DV42=AY29)*(DY3:DY42=AY27)*(EG3:EG42="L"))+SUMPRODUCT((DV3:DV42=AY26)*(DY3:DY42=AY27)*(EG3:EG42="L"))</f>
        <v>0</v>
      </c>
      <c r="BC27" s="75">
        <f>IF(AY27&lt;&gt;"",VLOOKUP(AY27,B4:F29,5,FALSE),0)</f>
        <v>0</v>
      </c>
      <c r="BD27" s="75">
        <f>IF(AY27&lt;&gt;"",VLOOKUP(AY27,B4:G29,6,FALSE),0)</f>
        <v>0</v>
      </c>
      <c r="BE27" s="75">
        <f>BC27-BD27+1000</f>
        <v>1000</v>
      </c>
      <c r="BF27" s="75">
        <f>IF(AY27&lt;&gt;"",VLOOKUP(AY27,B4:I29,8,FALSE),0)</f>
        <v>0</v>
      </c>
      <c r="BG27" s="75">
        <f>IF(AY27&lt;&gt;"",VLOOKUP(AY27,B4:J29,9,FALSE),0)</f>
        <v>0</v>
      </c>
      <c r="BH27" s="75">
        <f t="shared" ref="BH27" si="176">BF27-BG27+1000</f>
        <v>1000</v>
      </c>
      <c r="BI27" s="75" t="str">
        <f>IF(AY27&lt;&gt;"",VLOOKUP(AY27,B25:F29,5,FALSE),"")</f>
        <v/>
      </c>
      <c r="BJ27" s="75" t="str">
        <f>IF(AY27&lt;&gt;"",VLOOKUP(AY27,B25:I29,8,FALSE),"")</f>
        <v/>
      </c>
      <c r="BK27" s="75" t="str">
        <f>IF(AY27&lt;&gt;"",VLOOKUP(AY27,B25:P29,15,FALSE),"")</f>
        <v/>
      </c>
      <c r="BL27" s="75">
        <f>SUMPRODUCT((DV3:DV42=AY27)*(DY3:DY42=AY28)*EB3:EB42)+SUMPRODUCT((DV3:DV42=AY27)*(DY3:DY42=AY29)*EB3:EB42)+SUMPRODUCT((DV3:DV42=AY27)*(DY3:DY42=AY26)*EB3:EB42)+SUMPRODUCT((DV3:DV42=AY28)*(DY3:DY42=AY27)*EC3:EC42)+SUMPRODUCT((DV3:DV42=AY29)*(DY3:DY42=AY27)*EC3:EC42)+SUMPRODUCT((DV3:DV42=AY26)*(DY3:DY42=AY27)*EC3:EC42)</f>
        <v>0</v>
      </c>
      <c r="BM27" s="75">
        <f>SUMPRODUCT((DV3:DV42=AY27)*(DY3:DY42=AY28)*ED3:ED42)+SUMPRODUCT((DV3:DV42=AY27)*(DY3:DY42=AY29)*ED3:ED42)+SUMPRODUCT((DV3:DV42=AY27)*(DY3:DY42=AY26)*ED3:ED42)+SUMPRODUCT((DV3:DV42=AY28)*(DY3:DY42=AY27)*EE3:EE42)+SUMPRODUCT((DV3:DV42=AY29)*(DY3:DY42=AY27)*EE3:EE42)+SUMPRODUCT((DV3:DV42=AY26)*(DY3:DY42=AY27)*EE3:EE42)</f>
        <v>0</v>
      </c>
      <c r="BN27" s="75">
        <f>AZ27*4+BA27*2+BL27+BM27</f>
        <v>0</v>
      </c>
      <c r="BO27" s="75" t="str">
        <f>IF(AY27&lt;&gt;"",RANK(BN27,BN26:BN29),"")</f>
        <v/>
      </c>
      <c r="BP27" s="75">
        <f>SUMPRODUCT((BN26:BN29=BN27)*(BE26:BE29&gt;BE27))</f>
        <v>0</v>
      </c>
      <c r="BQ27" s="75">
        <f>SUMPRODUCT((BN26:BN29=BN27)*(BE26:BE29=BE27)*(BH26:BH29&gt;BH27))</f>
        <v>0</v>
      </c>
      <c r="BR27" s="75">
        <f>SUMPRODUCT((BN25:BN29=BN27)*(BE25:BE29=BE27)*(BH25:BH29=BH27)*(BI25:BI29&gt;BI27))</f>
        <v>0</v>
      </c>
      <c r="BS27" s="75">
        <f>SUMPRODUCT((BN25:BN29=BN27)*(BE25:BE29=BE27)*(BH25:BH29=BH27)*(BI25:BI29=BI27)*(BJ25:BJ29&gt;BJ27))</f>
        <v>0</v>
      </c>
      <c r="BT27" s="75">
        <f>SUMPRODUCT((BN25:BN29=BN27)*(BE25:BE29=BE27)*(BH25:BH29=BH27)*(BI25:BI29=BI27)*(BJ25:BJ29=BJ27)*(BK25:BK29&gt;BK27))</f>
        <v>0</v>
      </c>
      <c r="BU27" s="75" t="str">
        <f t="shared" si="165"/>
        <v/>
      </c>
      <c r="BV27" s="75" t="str">
        <f>IF(AY27&lt;&gt;"",INDEX(AY26:AY29,MATCH(3,BU26:BU29,0),0),"")</f>
        <v/>
      </c>
      <c r="BW27" s="75" t="str">
        <f>IF(X25&lt;&gt;"",X25,"")</f>
        <v/>
      </c>
      <c r="BX27" s="75">
        <f>SUMPRODUCT((DV3:DV42=BW27)*(DY3:DY42=BW28)*(EF3:EF42="W"))+SUMPRODUCT((DV3:DV42=BW27)*(DY3:DY42=BW29)*(EF3:EF42="W"))+SUMPRODUCT((DV3:DV42=BW27)*(DY3:DY42=BW30)*(EF3:EF42="W"))+SUMPRODUCT((DV3:DV42=BW28)*(DY3:DY42=BW27)*(EG3:EG42="W"))+SUMPRODUCT((DV3:DV42=BW29)*(DY3:DY42=BW27)*(EG3:EG42="W"))+SUMPRODUCT((DV3:DV42=BW30)*(DY3:DY42=BW27)*(EG3:EG42="W"))</f>
        <v>0</v>
      </c>
      <c r="BY27" s="75">
        <f>SUMPRODUCT((DV3:DV42=BW27)*(DY3:DY42=BW28)*(EF3:EF42="D"))+SUMPRODUCT((DV3:DV42=BW27)*(DY3:DY42=BW29)*(EF3:EF42="D"))+SUMPRODUCT((DV3:DV42=BW27)*(DY3:DY42=BW30)*(EF3:EF42="D"))+SUMPRODUCT((DV3:DV42=BW28)*(DY3:DY42=BW27)*(EF3:EF42="D"))+SUMPRODUCT((DV3:DV42=BW29)*(DY3:DY42=BW27)*(EF3:EF42="D"))+SUMPRODUCT((DV3:DV42=BW30)*(DY3:DY42=BW27)*(EF3:EF42="D"))</f>
        <v>0</v>
      </c>
      <c r="BZ27" s="75">
        <f>SUMPRODUCT((DV3:DV42=BW27)*(DY3:DY42=BW28)*(EF3:EF42="L"))+SUMPRODUCT((DV3:DV42=BW27)*(DY3:DY42=BW29)*(EF3:EF42="L"))+SUMPRODUCT((DV3:DV42=BW27)*(DY3:DY42=BW30)*(EF3:EF42="L"))+SUMPRODUCT((DV3:DV42=BW28)*(DY3:DY42=BW27)*(EG3:EG42="L"))+SUMPRODUCT((DV3:DV42=BW29)*(DY3:DY42=BW27)*(EG3:EG42="L"))+SUMPRODUCT((DV3:DV42=BW30)*(DY3:DY42=BW27)*(EG3:EG42="L"))</f>
        <v>0</v>
      </c>
      <c r="CA27" s="75">
        <f>IF(BW27&lt;&gt;"",VLOOKUP(BW27,B4:F29,5,FALSE),0)</f>
        <v>0</v>
      </c>
      <c r="CB27" s="75">
        <f>IF(BW27&lt;&gt;"",VLOOKUP(BW27,B4:G29,6,FALSE),0)</f>
        <v>0</v>
      </c>
      <c r="CC27" s="75">
        <f>CA27-CB27+1000</f>
        <v>1000</v>
      </c>
      <c r="CD27" s="75">
        <f>IF(BW27&lt;&gt;"",VLOOKUP(BW27,B4:I29,8,FALSE),0)</f>
        <v>0</v>
      </c>
      <c r="CE27" s="75">
        <f>IF(BW27&lt;&gt;"",VLOOKUP(BW27,B4:J29,9,FALSE),0)</f>
        <v>0</v>
      </c>
      <c r="CF27" s="75">
        <f>CD27-CE27+1000</f>
        <v>1000</v>
      </c>
      <c r="CG27" s="75" t="str">
        <f>IF(BW27&lt;&gt;"",VLOOKUP(BW27,B25:F29,5,FALSE),"")</f>
        <v/>
      </c>
      <c r="CH27" s="75" t="str">
        <f>IF(BW27&lt;&gt;"",VLOOKUP(BW27,B25:I29,8,FALSE),"")</f>
        <v/>
      </c>
      <c r="CI27" s="75" t="str">
        <f>IF(BW27&lt;&gt;"",VLOOKUP(BW27,B25:P29,15,FALSE),"")</f>
        <v/>
      </c>
      <c r="CJ27" s="75">
        <f>SUMPRODUCT((DV3:DV42=BW27)*(DY3:DY42=BW28)*EB3:EB42)+SUMPRODUCT((DV3:DV42=BW27)*(DY3:DY42=BW29)*EB3:EB42)+SUMPRODUCT((DV3:DV42=BW27)*(DY3:DY42=BW30)*EB3:EB42)+SUMPRODUCT((DV3:DV42=BW28)*(DY3:DY42=BW27)*EC3:EC42)+SUMPRODUCT((DV3:DV42=BW29)*(DY3:DY42=BW27)*EC3:EC42)+SUMPRODUCT((DV3:DV42=BW30)*(DY3:DY42=BW27)*EC3:EC42)</f>
        <v>0</v>
      </c>
      <c r="CK27" s="75">
        <f>SUMPRODUCT((DV3:DV42=BW27)*(DY3:DY42=BW28)*ED3:ED42)+SUMPRODUCT((DV3:DV42=BW27)*(DY3:DY42=BW29)*ED3:ED42)+SUMPRODUCT((DV3:DV42=BW27)*(DY3:DY42=BW30)*ED3:ED42)+SUMPRODUCT((DV3:DV42=BW28)*(DY3:DY42=BW27)*EE3:EE42)+SUMPRODUCT((DV3:DV42=BW29)*(DY3:DY42=BW27)*EE3:EE42)+SUMPRODUCT((DV3:DV42=BW30)*(DY3:DY42=BW27)*EE3:EE42)</f>
        <v>0</v>
      </c>
      <c r="CL27" s="75">
        <f>BX27*4+BY27*2+CJ27+CK27</f>
        <v>0</v>
      </c>
      <c r="CM27" s="75" t="str">
        <f>IF(BW27&lt;&gt;"",RANK(CL27,CL27:CL30),"")</f>
        <v/>
      </c>
      <c r="CN27" s="75">
        <f>SUMPRODUCT((CL27:CL30=CL27)*(CC27:CC30&gt;CC27))</f>
        <v>0</v>
      </c>
      <c r="CO27" s="75">
        <f>SUMPRODUCT((CL27:CL30=CL27)*(CC27:CC30=CC27)*(CF27:CF30&gt;CF27))</f>
        <v>0</v>
      </c>
      <c r="CP27" s="75">
        <f>SUMPRODUCT((CL25:CL29=CL27)*(CC25:CC29=CC27)*(CF25:CF29=CF27)*(CG25:CG29&gt;CG27))</f>
        <v>0</v>
      </c>
      <c r="CQ27" s="75">
        <f>SUMPRODUCT((CL25:CL29=CL27)*(CC25:CC29=CC27)*(CF25:CF29=CF27)*(CG25:CG29=CG27)*(CH25:CH29&gt;CH27))</f>
        <v>0</v>
      </c>
      <c r="CR27" s="75">
        <f>SUMPRODUCT((CL25:CL29=CL27)*(CC25:CC29=CC27)*(CF25:CF29=CF27)*(CG25:CG29=CG27)*(CH25:CH29=CH27)*(CI25:CI29&gt;CI27))</f>
        <v>0</v>
      </c>
      <c r="CS27" s="75" t="str">
        <f t="shared" ref="CS27:CS29" si="177">IF(BW27&lt;&gt;"",SUM(CM27:CR27)+2,"")</f>
        <v/>
      </c>
      <c r="CT27" s="75" t="str">
        <f>IF(BW27&lt;&gt;"",INDEX(BW27:BW29,MATCH(3,CS27:CS29,0),0),"")</f>
        <v/>
      </c>
      <c r="DS27" s="75" t="str">
        <f>IF(CT27&lt;&gt;"",CT27,IF(BV27&lt;&gt;"",BV27,IF(AX27&lt;&gt;"",AX27,T27)))</f>
        <v>Italy</v>
      </c>
      <c r="DT27" s="75">
        <v>3</v>
      </c>
      <c r="DU27" s="75">
        <v>25</v>
      </c>
      <c r="DV27" s="75" t="str">
        <f>Tournament!H37</f>
        <v>South Africa</v>
      </c>
      <c r="DW27" s="75">
        <f>IF(AND(Tournament!J37&lt;&gt;"",Tournament!L37&lt;&gt;""),Tournament!J37,0)</f>
        <v>0</v>
      </c>
      <c r="DX27" s="75">
        <f>IF(AND(Tournament!L37&lt;&gt;"",Tournament!J37&lt;&gt;""),Tournament!L37,0)</f>
        <v>0</v>
      </c>
      <c r="DY27" s="75" t="str">
        <f>Tournament!N37</f>
        <v>Scotland</v>
      </c>
      <c r="DZ27" s="75">
        <f>IF(Tournament!O37&lt;&gt;"",Tournament!O37,0)</f>
        <v>0</v>
      </c>
      <c r="EA27" s="75">
        <f>IF(Tournament!Q37&lt;&gt;"",Tournament!Q37,0)</f>
        <v>0</v>
      </c>
      <c r="EB27" s="75">
        <f>IF(DW27&lt;&gt;"",IF(Tournament!O37&gt;3,1,0),0)</f>
        <v>1</v>
      </c>
      <c r="EC27" s="75">
        <f>IF(DX27&lt;&gt;"",IF(Tournament!Q37&gt;3,1,0),0)</f>
        <v>1</v>
      </c>
      <c r="ED27" s="75">
        <f t="shared" si="1"/>
        <v>0</v>
      </c>
      <c r="EE27" s="75">
        <f t="shared" si="2"/>
        <v>0</v>
      </c>
      <c r="EF27" s="75" t="str">
        <f>IF(AND(Tournament!J37&lt;&gt;"",Tournament!L37&lt;&gt;""),IF(DW27&gt;DX27,"W",IF(DW27=DX27,"D","L")),"")</f>
        <v/>
      </c>
      <c r="EG27" s="75" t="str">
        <f t="shared" si="3"/>
        <v/>
      </c>
      <c r="EH27" s="75">
        <f ca="1">VLOOKUP(EI27,IZ25:JA29,2,FALSE)</f>
        <v>3</v>
      </c>
      <c r="EI27" s="75" t="s">
        <v>17</v>
      </c>
      <c r="EJ27" s="75">
        <f t="shared" ca="1" si="150"/>
        <v>0</v>
      </c>
      <c r="EK27" s="75">
        <f t="shared" ca="1" si="151"/>
        <v>0</v>
      </c>
      <c r="EL27" s="75">
        <f t="shared" ca="1" si="152"/>
        <v>0</v>
      </c>
      <c r="EM27" s="75">
        <f t="shared" ca="1" si="153"/>
        <v>0</v>
      </c>
      <c r="EN27" s="75">
        <f t="shared" ca="1" si="166"/>
        <v>0</v>
      </c>
      <c r="EO27" s="75">
        <f t="shared" ca="1" si="154"/>
        <v>1000</v>
      </c>
      <c r="EP27" s="75">
        <f t="shared" ca="1" si="167"/>
        <v>0</v>
      </c>
      <c r="EQ27" s="75">
        <f t="shared" ca="1" si="168"/>
        <v>0</v>
      </c>
      <c r="ER27" s="75">
        <f t="shared" ca="1" si="155"/>
        <v>1000</v>
      </c>
      <c r="ES27" s="75">
        <f t="shared" ca="1" si="156"/>
        <v>0</v>
      </c>
      <c r="ET27" s="75">
        <f ca="1">SUMIF(JC:JC,EI27,JI:JI)+SUMIF(JF:JF,EI27,JJ:JJ)</f>
        <v>0</v>
      </c>
      <c r="EU27" s="75">
        <f ca="1">SUMIF(JC:JC,EI27,JK:JK)+SUMIF(JF:JF,EI27,JL:JL)</f>
        <v>0</v>
      </c>
      <c r="EV27" s="75">
        <f t="shared" ca="1" si="157"/>
        <v>0</v>
      </c>
      <c r="EW27" s="75">
        <v>15</v>
      </c>
      <c r="EX27" s="75">
        <f t="shared" ca="1" si="169"/>
        <v>1</v>
      </c>
      <c r="EZ27" s="75">
        <f ca="1">RANK(EV27,EV$25:EV$29)+COUNTIF(EV$25:EV27,EV27)-1</f>
        <v>3</v>
      </c>
      <c r="FA27" s="75" t="str">
        <f ca="1">INDEX(EI$25:EI$29,MATCH(3,EZ$25:EZ$29,0),0)</f>
        <v>Italy</v>
      </c>
      <c r="FB27" s="75">
        <f t="shared" ca="1" si="170"/>
        <v>1</v>
      </c>
      <c r="FC27" s="75" t="str">
        <f ca="1">IF(AND(FC26&lt;&gt;"",FB27=1),FA27,"")</f>
        <v>Italy</v>
      </c>
      <c r="FD27" s="75" t="str">
        <f ca="1">IF(AND(FD26&lt;&gt;"",FB28=2),FA28,"")</f>
        <v/>
      </c>
      <c r="FE27" s="75" t="str">
        <f ca="1">IF(AND(FE26&lt;&gt;"",FB29=3),FA29,"")</f>
        <v/>
      </c>
      <c r="FH27" s="75" t="str">
        <f t="shared" ca="1" si="171"/>
        <v>Italy</v>
      </c>
      <c r="FI27" s="75">
        <f ca="1">SUMPRODUCT((JC3:JC42=FH27)*(JF3:JF42=FH28)*(JM3:JM42="W"))+SUMPRODUCT((JC3:JC42=FH27)*(JF3:JF42=FH29)*(JM3:JM42="W"))+SUMPRODUCT((JC3:JC42=FH27)*(JF3:JF42=FH25)*(JM3:JM42="W"))+SUMPRODUCT((JC3:JC42=FH27)*(JF3:JF42=FH26)*(JM3:JM42="W"))+SUMPRODUCT((JC3:JC42=FH28)*(JF3:JF42=FH27)*(JN3:JN42="W"))+SUMPRODUCT((JC3:JC42=FH29)*(JF3:JF42=FH27)*(JN3:JN42="W"))+SUMPRODUCT((JC3:JC42=FH25)*(JF3:JF42=FH27)*(JN3:JN42="W"))+SUMPRODUCT((JC3:JC42=FH26)*(JF3:JF42=FH27)*(JN3:JN42="W"))</f>
        <v>0</v>
      </c>
      <c r="FJ27" s="75">
        <f ca="1">SUMPRODUCT((JC3:JC42=FH27)*(JF3:JF42=FH28)*(JM3:JM42="D"))+SUMPRODUCT((JC3:JC42=FH27)*(JF3:JF42=FH29)*(JM3:JM42="D"))+SUMPRODUCT((JC3:JC42=FH27)*(JF3:JF42=FH25)*(JM3:JM42="D"))+SUMPRODUCT((JC3:JC42=FH27)*(JF3:JF42=FH26)*(JM3:JM42="D"))+SUMPRODUCT((JC3:JC42=FH28)*(JF3:JF42=FH27)*(JM3:JM42="D"))+SUMPRODUCT((JC3:JC42=FH29)*(JF3:JF42=FH27)*(JM3:JM42="D"))+SUMPRODUCT((JC3:JC42=FH25)*(JF3:JF42=FH27)*(JM3:JM42="D"))+SUMPRODUCT((JC3:JC42=FH26)*(JF3:JF42=FH27)*(JM3:JM42="D"))</f>
        <v>0</v>
      </c>
      <c r="FK27" s="75">
        <f ca="1">SUMPRODUCT((JC3:JC42=FH27)*(JF3:JF42=FH28)*(JM3:JM42="L"))+SUMPRODUCT((JC3:JC42=FH27)*(JF3:JF42=FH29)*(JM3:JM42="L"))+SUMPRODUCT((JC3:JC42=FH27)*(JF3:JF42=FH25)*(JM3:JM42="L"))+SUMPRODUCT((JC3:JC42=FH27)*(JF3:JF42=FH26)*(JM3:JM42="L"))+SUMPRODUCT((JC3:JC42=FH28)*(JF3:JF42=FH27)*(JN3:JN42="L"))+SUMPRODUCT((JC3:JC42=FH29)*(JF3:JF42=FH27)*(JN3:JN42="L"))+SUMPRODUCT((JC3:JC42=FH25)*(JF3:JF42=FH27)*(JN3:JN42="L"))+SUMPRODUCT((JC3:JC42=FH26)*(JF3:JF42=FH27)*(JN3:JN42="L"))</f>
        <v>0</v>
      </c>
      <c r="FL27" s="75">
        <f ca="1">IF(FH27&lt;&gt;"",VLOOKUP(FH27,EI4:EM29,5,FALSE),0)</f>
        <v>0</v>
      </c>
      <c r="FM27" s="75">
        <f ca="1">IF(FH27&lt;&gt;"",VLOOKUP(FH27,EI4:EN29,6,FALSE),0)</f>
        <v>0</v>
      </c>
      <c r="FN27" s="75">
        <f ca="1">FL27-FM27+1000</f>
        <v>1000</v>
      </c>
      <c r="FO27" s="75">
        <f ca="1">IF(FH27&lt;&gt;"",VLOOKUP(FH27,EI4:EP29,8,FALSE),0)</f>
        <v>0</v>
      </c>
      <c r="FP27" s="75">
        <f ca="1">IF(FH27&lt;&gt;"",VLOOKUP(FH27,EI4:EQ29,9,FALSE),0)</f>
        <v>0</v>
      </c>
      <c r="FQ27" s="75">
        <f ca="1">IF(FH27&lt;&gt;"",FO27-FP27+1000,"")</f>
        <v>1000</v>
      </c>
      <c r="FR27" s="75">
        <f ca="1">IF(FH27&lt;&gt;"",VLOOKUP(FH27,EI25:EM29,5,FALSE),"")</f>
        <v>0</v>
      </c>
      <c r="FS27" s="75">
        <f ca="1">IF(FH27&lt;&gt;"",VLOOKUP(FH27,EI25:EP29,8,FALSE),"")</f>
        <v>0</v>
      </c>
      <c r="FT27" s="75">
        <f ca="1">IF(FH27&lt;&gt;"",VLOOKUP(FH27,EI25:EW29,15,FALSE),"")</f>
        <v>15</v>
      </c>
      <c r="FU27" s="75">
        <f ca="1">SUMPRODUCT((JC3:JC42=FH27)*(JF3:JF42=FH28)*JI3:JI42)+SUMPRODUCT((JC3:JC42=FH27)*(JF3:JF42=FH29)*JI3:JI42)+SUMPRODUCT((JC3:JC42=FH27)*(JF3:JF42=FH25)*JI3:JI42)+SUMPRODUCT((JC3:JC42=FH27)*(JF3:JF42=FH26)*JI3:JI42)+SUMPRODUCT((JC3:JC42=FH28)*(JF3:JF42=FH27)*JJ3:JJ42)+SUMPRODUCT((JC3:JC42=FH29)*(JF3:JF42=FH27)*JJ3:JJ42)+SUMPRODUCT((JC3:JC42=FH25)*(JF3:JF42=FH27)*JJ3:JJ42)+SUMPRODUCT((JC3:JC42=FH26)*(JF3:JF42=FH27)*JJ3:JJ42)</f>
        <v>0</v>
      </c>
      <c r="FV27" s="75">
        <f ca="1">SUMPRODUCT((JC3:JC42=FH27)*(JF3:JF42=FH28)*JK3:JK42)+SUMPRODUCT((JC3:JC42=FH27)*(JF3:JF42=FH29)*JK3:JK42)+SUMPRODUCT((JC3:JC42=FH27)*(JF3:JF42=FH25)*JK3:JK42)+SUMPRODUCT((JC3:JC42=FH27)*(JF3:JF42=FH26)*JK3:JK42)+SUMPRODUCT((JC3:JC42=FH28)*(JF3:JF42=FH27)*JL3:JL42)+SUMPRODUCT((JC3:JC42=FH29)*(JF3:JF42=FH27)*JL3:JL42)+SUMPRODUCT((JC3:JC42=FH25)*(JF3:JF42=FH27)*JL3:JL42)+SUMPRODUCT((JC3:JC42=FH26)*(JF3:JF42=FH27)*JL3:JL42)</f>
        <v>0</v>
      </c>
      <c r="FW27" s="75">
        <f ca="1">IF(FH27&lt;&gt;"",FI27*4+FJ27*2+FU27+FV27,"")</f>
        <v>0</v>
      </c>
      <c r="FX27" s="75">
        <f ca="1">IF(FH27&lt;&gt;"",RANK(FW27,FW25:FW29),"")</f>
        <v>1</v>
      </c>
      <c r="FY27" s="75">
        <f ca="1">SUMPRODUCT((FW25:FW29=FW27)*(FN25:FN29&gt;FN27))</f>
        <v>0</v>
      </c>
      <c r="FZ27" s="75">
        <f ca="1">SUMPRODUCT((FW25:FW29=FW27)*(FN25:FN29=FN27)*(FQ25:FQ29&gt;FQ27))</f>
        <v>0</v>
      </c>
      <c r="GA27" s="75">
        <f ca="1">SUMPRODUCT((FW25:FW29=FW27)*(FN25:FN29=FN27)*(FQ25:FQ29=FQ27)*(FR25:FR29&gt;FR27))</f>
        <v>0</v>
      </c>
      <c r="GB27" s="75">
        <f ca="1">SUMPRODUCT((FW25:FW29=FW27)*(FN25:FN29=FN27)*(FQ25:FQ29=FQ27)*(FR25:FR29=FR27)*(FS25:FS29&gt;FS27))</f>
        <v>0</v>
      </c>
      <c r="GC27" s="75">
        <f ca="1">SUMPRODUCT((FW25:FW29=FW27)*(FN25:FN29=FN27)*(FQ25:FQ29=FQ27)*(FR25:FR29=FR27)*(FS25:FS29=FS27)*(FT25:FT29&gt;FT27))</f>
        <v>2</v>
      </c>
      <c r="GD27" s="75">
        <f t="shared" ca="1" si="174"/>
        <v>3</v>
      </c>
      <c r="GE27" s="75" t="str">
        <f ca="1">IF(FH27&lt;&gt;"",INDEX(FH25:FH29,MATCH(3,GD25:GD29,0),0),"")</f>
        <v>Italy</v>
      </c>
      <c r="GF27" s="75" t="str">
        <f ca="1">IF(FD26&lt;&gt;"",FD26,"")</f>
        <v/>
      </c>
      <c r="GG27" s="75">
        <f ca="1">SUMPRODUCT((JC3:JC42=GF27)*(JF3:JF42=GF28)*(JM3:JM42="W"))+SUMPRODUCT((JC3:JC42=GF27)*(JF3:JF42=GF29)*(JM3:JM42="W"))+SUMPRODUCT((JC3:JC42=GF27)*(JF3:JF42=GF26)*(JM3:JM42="W"))+SUMPRODUCT((JC3:JC42=GF28)*(JF3:JF42=GF27)*(JN3:JN42="W"))+SUMPRODUCT((JC3:JC42=GF29)*(JF3:JF42=GF27)*(JN3:JN42="W"))+SUMPRODUCT((JC3:JC42=GF26)*(JF3:JF42=GF27)*(JN3:JN42="W"))</f>
        <v>0</v>
      </c>
      <c r="GH27" s="75">
        <f ca="1">SUMPRODUCT((JC3:JC42=GF27)*(JF3:JF42=GF28)*(JM3:JM42="D"))+SUMPRODUCT((JC3:JC42=GF27)*(JF3:JF42=GF29)*(JM3:JM42="D"))+SUMPRODUCT((JC3:JC42=GF27)*(JF3:JF42=GF26)*(JM3:JM42="D"))+SUMPRODUCT((JC3:JC42=GF28)*(JF3:JF42=GF27)*(JM3:JM42="D"))+SUMPRODUCT((JC3:JC42=GF29)*(JF3:JF42=GF27)*(JM3:JM42="D"))+SUMPRODUCT((JC3:JC42=GF26)*(JF3:JF42=GF27)*(JM3:JM42="D"))</f>
        <v>0</v>
      </c>
      <c r="GI27" s="75">
        <f ca="1">SUMPRODUCT((JC3:JC42=GF27)*(JF3:JF42=GF28)*(JM3:JM42="L"))+SUMPRODUCT((JC3:JC42=GF27)*(JF3:JF42=GF29)*(JM3:JM42="L"))+SUMPRODUCT((JC3:JC42=GF27)*(JF3:JF42=GF26)*(JM3:JM42="L"))+SUMPRODUCT((JC3:JC42=GF28)*(JF3:JF42=GF27)*(JN3:JN42="L"))+SUMPRODUCT((JC3:JC42=GF29)*(JF3:JF42=GF27)*(JN3:JN42="L"))+SUMPRODUCT((JC3:JC42=GF26)*(JF3:JF42=GF27)*(JN3:JN42="L"))</f>
        <v>0</v>
      </c>
      <c r="GJ27" s="75">
        <f ca="1">IF(GF27&lt;&gt;"",VLOOKUP(GF27,EI4:EM29,5,FALSE),0)</f>
        <v>0</v>
      </c>
      <c r="GK27" s="75">
        <f ca="1">IF(GF27&lt;&gt;"",VLOOKUP(GF27,EI4:EN29,6,FALSE),0)</f>
        <v>0</v>
      </c>
      <c r="GL27" s="75">
        <f ca="1">GJ27-GK27+1000</f>
        <v>1000</v>
      </c>
      <c r="GM27" s="75">
        <f ca="1">IF(GF27&lt;&gt;"",VLOOKUP(GF27,EI4:EP29,8,FALSE),0)</f>
        <v>0</v>
      </c>
      <c r="GN27" s="75">
        <f ca="1">IF(GF27&lt;&gt;"",VLOOKUP(GF27,EI4:EQ29,9,FALSE),0)</f>
        <v>0</v>
      </c>
      <c r="GO27" s="75">
        <f t="shared" ref="GO27" ca="1" si="178">GM27-GN27+1000</f>
        <v>1000</v>
      </c>
      <c r="GP27" s="75" t="str">
        <f ca="1">IF(GF27&lt;&gt;"",VLOOKUP(GF27,EI25:EM29,5,FALSE),"")</f>
        <v/>
      </c>
      <c r="GQ27" s="75" t="str">
        <f ca="1">IF(GF27&lt;&gt;"",VLOOKUP(GF27,EI25:EP29,8,FALSE),"")</f>
        <v/>
      </c>
      <c r="GR27" s="75" t="str">
        <f ca="1">IF(GF27&lt;&gt;"",VLOOKUP(GF27,EI25:EW29,15,FALSE),"")</f>
        <v/>
      </c>
      <c r="GS27" s="75">
        <f ca="1">SUMPRODUCT((JC3:JC42=GF27)*(JF3:JF42=GF28)*JI3:JI42)+SUMPRODUCT((JC3:JC42=GF27)*(JF3:JF42=GF29)*JI3:JI42)+SUMPRODUCT((JC3:JC42=GF27)*(JF3:JF42=GF26)*JI3:JI42)+SUMPRODUCT((JC3:JC42=GF28)*(JF3:JF42=GF27)*JJ3:JJ42)+SUMPRODUCT((JC3:JC42=GF29)*(JF3:JF42=GF27)*JJ3:JJ42)+SUMPRODUCT((JC3:JC42=GF26)*(JF3:JF42=GF27)*JJ3:JJ42)</f>
        <v>0</v>
      </c>
      <c r="GT27" s="75">
        <f ca="1">SUMPRODUCT((JC3:JC42=GF27)*(JF3:JF42=GF28)*JK3:JK42)+SUMPRODUCT((JC3:JC42=GF27)*(JF3:JF42=GF29)*JK3:JK42)+SUMPRODUCT((JC3:JC42=GF27)*(JF3:JF42=GF26)*JK3:JK42)+SUMPRODUCT((JC3:JC42=GF28)*(JF3:JF42=GF27)*JL3:JL42)+SUMPRODUCT((JC3:JC42=GF29)*(JF3:JF42=GF27)*JL3:JL42)+SUMPRODUCT((JC3:JC42=GF26)*(JF3:JF42=GF27)*JL3:JL42)</f>
        <v>0</v>
      </c>
      <c r="GU27" s="75">
        <f ca="1">GG27*4+GH27*2+GS27+GT27</f>
        <v>0</v>
      </c>
      <c r="GV27" s="75" t="str">
        <f ca="1">IF(GF27&lt;&gt;"",RANK(GU27,GU26:GU29),"")</f>
        <v/>
      </c>
      <c r="GW27" s="75">
        <f ca="1">SUMPRODUCT((GU26:GU29=GU27)*(GL26:GL29&gt;GL27))</f>
        <v>0</v>
      </c>
      <c r="GX27" s="75">
        <f ca="1">SUMPRODUCT((GU26:GU29=GU27)*(GL26:GL29=GL27)*(GO26:GO29&gt;GO27))</f>
        <v>0</v>
      </c>
      <c r="GY27" s="75">
        <f ca="1">SUMPRODUCT((GU25:GU29=GU27)*(GL25:GL29=GL27)*(GO25:GO29=GO27)*(GP25:GP29&gt;GP27))</f>
        <v>0</v>
      </c>
      <c r="GZ27" s="75">
        <f ca="1">SUMPRODUCT((GU25:GU29=GU27)*(GL25:GL29=GL27)*(GO25:GO29=GO27)*(GP25:GP29=GP27)*(GQ25:GQ29&gt;GQ27))</f>
        <v>0</v>
      </c>
      <c r="HA27" s="75">
        <f ca="1">SUMPRODUCT((GU25:GU29=GU27)*(GL25:GL29=GL27)*(GO25:GO29=GO27)*(GP25:GP29=GP27)*(GQ25:GQ29=GQ27)*(GR25:GR29&gt;GR27))</f>
        <v>0</v>
      </c>
      <c r="HB27" s="75" t="str">
        <f t="shared" ca="1" si="175"/>
        <v/>
      </c>
      <c r="HC27" s="75" t="str">
        <f ca="1">IF(GF27&lt;&gt;"",INDEX(GF26:GF29,MATCH(3,HB26:HB29,0),0),"")</f>
        <v/>
      </c>
      <c r="HD27" s="75" t="str">
        <f ca="1">IF(FE25&lt;&gt;"",FE25,"")</f>
        <v/>
      </c>
      <c r="HE27" s="75">
        <f ca="1">SUMPRODUCT((JC3:JC42=HD27)*(JF3:JF42=HD28)*(JM3:JM42="W"))+SUMPRODUCT((JC3:JC42=HD27)*(JF3:JF42=HD29)*(JM3:JM42="W"))+SUMPRODUCT((JC3:JC42=HD27)*(JF3:JF42=HD30)*(JM3:JM42="W"))+SUMPRODUCT((JC3:JC42=HD28)*(JF3:JF42=HD27)*(JN3:JN42="W"))+SUMPRODUCT((JC3:JC42=HD29)*(JF3:JF42=HD27)*(JN3:JN42="W"))+SUMPRODUCT((JC3:JC42=HD30)*(JF3:JF42=HD27)*(JN3:JN42="W"))</f>
        <v>0</v>
      </c>
      <c r="HF27" s="75">
        <f ca="1">SUMPRODUCT((JC3:JC42=HD27)*(JF3:JF42=HD28)*(JM3:JM42="D"))+SUMPRODUCT((JC3:JC42=HD27)*(JF3:JF42=HD29)*(JM3:JM42="D"))+SUMPRODUCT((JC3:JC42=HD27)*(JF3:JF42=HD30)*(JM3:JM42="D"))+SUMPRODUCT((JC3:JC42=HD28)*(JF3:JF42=HD27)*(JM3:JM42="D"))+SUMPRODUCT((JC3:JC42=HD29)*(JF3:JF42=HD27)*(JM3:JM42="D"))+SUMPRODUCT((JC3:JC42=HD30)*(JF3:JF42=HD27)*(JM3:JM42="D"))</f>
        <v>0</v>
      </c>
      <c r="HG27" s="75">
        <f ca="1">SUMPRODUCT((JC3:JC42=HD27)*(JF3:JF42=HD28)*(JM3:JM42="L"))+SUMPRODUCT((JC3:JC42=HD27)*(JF3:JF42=HD29)*(JM3:JM42="L"))+SUMPRODUCT((JC3:JC42=HD27)*(JF3:JF42=HD30)*(JM3:JM42="L"))+SUMPRODUCT((JC3:JC42=HD28)*(JF3:JF42=HD27)*(JN3:JN42="L"))+SUMPRODUCT((JC3:JC42=HD29)*(JF3:JF42=HD27)*(JN3:JN42="L"))+SUMPRODUCT((JC3:JC42=HD30)*(JF3:JF42=HD27)*(JN3:JN42="L"))</f>
        <v>0</v>
      </c>
      <c r="HH27" s="75">
        <f ca="1">IF(HD27&lt;&gt;"",VLOOKUP(HD27,EI4:EM29,5,FALSE),0)</f>
        <v>0</v>
      </c>
      <c r="HI27" s="75">
        <f ca="1">IF(HD27&lt;&gt;"",VLOOKUP(HD27,EI4:EN29,6,FALSE),0)</f>
        <v>0</v>
      </c>
      <c r="HJ27" s="75">
        <f ca="1">HH27-HI27+1000</f>
        <v>1000</v>
      </c>
      <c r="HK27" s="75">
        <f ca="1">IF(HD27&lt;&gt;"",VLOOKUP(HD27,EI4:EP29,8,FALSE),0)</f>
        <v>0</v>
      </c>
      <c r="HL27" s="75">
        <f ca="1">IF(HD27&lt;&gt;"",VLOOKUP(HD27,EI4:EQ29,9,FALSE),0)</f>
        <v>0</v>
      </c>
      <c r="HM27" s="75">
        <f ca="1">HK27-HL27+1000</f>
        <v>1000</v>
      </c>
      <c r="HN27" s="75" t="str">
        <f ca="1">IF(HD27&lt;&gt;"",VLOOKUP(HD27,EI25:EM29,5,FALSE),"")</f>
        <v/>
      </c>
      <c r="HO27" s="75" t="str">
        <f ca="1">IF(HD27&lt;&gt;"",VLOOKUP(HD27,EI25:EP29,8,FALSE),"")</f>
        <v/>
      </c>
      <c r="HP27" s="75" t="str">
        <f ca="1">IF(HD27&lt;&gt;"",VLOOKUP(HD27,EI25:EW29,15,FALSE),"")</f>
        <v/>
      </c>
      <c r="HQ27" s="75">
        <f ca="1">SUMPRODUCT((JC3:JC42=HD27)*(JF3:JF42=HD28)*JI3:JI42)+SUMPRODUCT((JC3:JC42=HD27)*(JF3:JF42=HD29)*JI3:JI42)+SUMPRODUCT((JC3:JC42=HD27)*(JF3:JF42=HD30)*JI3:JI42)+SUMPRODUCT((JC3:JC42=HD28)*(JF3:JF42=HD27)*JJ3:JJ42)+SUMPRODUCT((JC3:JC42=HD29)*(JF3:JF42=HD27)*JJ3:JJ42)+SUMPRODUCT((JC3:JC42=HD30)*(JF3:JF42=HD27)*JJ3:JJ42)</f>
        <v>0</v>
      </c>
      <c r="HR27" s="75">
        <f ca="1">SUMPRODUCT((JC3:JC42=HD27)*(JF3:JF42=HD28)*JK3:JK42)+SUMPRODUCT((JC3:JC42=HD27)*(JF3:JF42=HD29)*JK3:JK42)+SUMPRODUCT((JC3:JC42=HD27)*(JF3:JF42=HD30)*JK3:JK42)+SUMPRODUCT((JC3:JC42=HD28)*(JF3:JF42=HD27)*JL3:JL42)+SUMPRODUCT((JC3:JC42=HD29)*(JF3:JF42=HD27)*JL3:JL42)+SUMPRODUCT((JC3:JC42=HD30)*(JF3:JF42=HD27)*JL3:JL42)</f>
        <v>0</v>
      </c>
      <c r="HS27" s="75">
        <f ca="1">HE27*4+HF27*2+HQ27+HR27</f>
        <v>0</v>
      </c>
      <c r="HT27" s="75" t="str">
        <f ca="1">IF(HD27&lt;&gt;"",RANK(HS27,HS27:HS30),"")</f>
        <v/>
      </c>
      <c r="HU27" s="75">
        <f ca="1">SUMPRODUCT((HS27:HS30=HS27)*(HJ27:HJ30&gt;HJ27))</f>
        <v>0</v>
      </c>
      <c r="HV27" s="75">
        <f ca="1">SUMPRODUCT((HS27:HS30=HS27)*(HJ27:HJ30=HJ27)*(HM27:HM30&gt;HM27))</f>
        <v>0</v>
      </c>
      <c r="HW27" s="75">
        <f ca="1">SUMPRODUCT((HS25:HS29=HS27)*(HJ25:HJ29=HJ27)*(HM25:HM29=HM27)*(HN25:HN29&gt;HN27))</f>
        <v>0</v>
      </c>
      <c r="HX27" s="75">
        <f ca="1">SUMPRODUCT((HS25:HS29=HS27)*(HJ25:HJ29=HJ27)*(HM25:HM29=HM27)*(HN25:HN29=HN27)*(HO25:HO29&gt;HO27))</f>
        <v>0</v>
      </c>
      <c r="HY27" s="75">
        <f ca="1">SUMPRODUCT((HS25:HS29=HS27)*(HJ25:HJ29=HJ27)*(HM25:HM29=HM27)*(HN25:HN29=HN27)*(HO25:HO29=HO27)*(HP25:HP29&gt;HP27))</f>
        <v>0</v>
      </c>
      <c r="HZ27" s="75" t="str">
        <f t="shared" ref="HZ27:HZ29" ca="1" si="179">IF(HD27&lt;&gt;"",SUM(HT27:HY27)+2,"")</f>
        <v/>
      </c>
      <c r="IA27" s="75" t="str">
        <f ca="1">IF(HD27&lt;&gt;"",INDEX(HD27:HD29,MATCH(3,HZ27:HZ29,0),0),"")</f>
        <v/>
      </c>
      <c r="IZ27" s="75" t="str">
        <f ca="1">IF(IA27&lt;&gt;"",IA27,IF(HC27&lt;&gt;"",HC27,IF(GE27&lt;&gt;"",GE27,FA27)))</f>
        <v>Italy</v>
      </c>
      <c r="JA27" s="75">
        <v>3</v>
      </c>
      <c r="JB27" s="75">
        <v>25</v>
      </c>
      <c r="JC27" s="75" t="str">
        <f t="shared" si="4"/>
        <v>South Africa</v>
      </c>
      <c r="JD27" s="75" t="str">
        <f ca="1">IF(OFFSET('Prediction Sheet'!$W37,0,JD$1)&lt;&gt;"",OFFSET('Prediction Sheet'!$W37,0,JD$1),"")</f>
        <v/>
      </c>
      <c r="JE27" s="75" t="str">
        <f ca="1">IF(OFFSET('Prediction Sheet'!$Y37,0,JD$1)&lt;&gt;"",OFFSET('Prediction Sheet'!$Y37,0,JD$1),"")</f>
        <v/>
      </c>
      <c r="JF27" s="75" t="str">
        <f t="shared" si="5"/>
        <v>Scotland</v>
      </c>
      <c r="JG27" s="75" t="str">
        <f ca="1">IF(OFFSET('Prediction Sheet'!$AA37,0,JF$1)&lt;&gt;"",OFFSET('Prediction Sheet'!$AA37,0,JF$1),"")</f>
        <v/>
      </c>
      <c r="JH27" s="75" t="str">
        <f ca="1">IF(OFFSET('Prediction Sheet'!$AC37,0,JG$1)&lt;&gt;"",OFFSET('Prediction Sheet'!$AC37,0,JG$1),"")</f>
        <v/>
      </c>
      <c r="JI27" s="75">
        <f t="shared" ca="1" si="6"/>
        <v>0</v>
      </c>
      <c r="JJ27" s="75">
        <f t="shared" ca="1" si="7"/>
        <v>0</v>
      </c>
      <c r="JK27" s="75">
        <f t="shared" ca="1" si="8"/>
        <v>0</v>
      </c>
      <c r="JL27" s="75">
        <f t="shared" ca="1" si="9"/>
        <v>0</v>
      </c>
      <c r="JM27" s="75" t="str">
        <f t="shared" ca="1" si="10"/>
        <v/>
      </c>
      <c r="JN27" s="75" t="str">
        <f t="shared" ca="1" si="11"/>
        <v/>
      </c>
    </row>
    <row r="28" spans="1:274" x14ac:dyDescent="0.2">
      <c r="A28" s="75">
        <f>VLOOKUP(B28,DS25:DT29,2,FALSE)</f>
        <v>1</v>
      </c>
      <c r="B28" s="75" t="s">
        <v>38</v>
      </c>
      <c r="C28" s="75">
        <f t="shared" si="142"/>
        <v>0</v>
      </c>
      <c r="D28" s="75">
        <f t="shared" si="143"/>
        <v>0</v>
      </c>
      <c r="E28" s="75">
        <f t="shared" si="144"/>
        <v>0</v>
      </c>
      <c r="F28" s="75">
        <f>SUMIF($DV$3:$DV$60,B28,$DW$3:$DW$60)+SUMIF($DY$3:$DY$60,B28,$DX$3:$DX$60)</f>
        <v>0</v>
      </c>
      <c r="G28" s="75">
        <f>SUMIF($DY$3:$DY$60,B28,$DW$3:$DW$60)+SUMIF($DV$3:$DV$60,B28,$DX$3:$DX$60)</f>
        <v>0</v>
      </c>
      <c r="H28" s="75">
        <f t="shared" si="145"/>
        <v>1000</v>
      </c>
      <c r="I28" s="75">
        <f>SUMIF(Tournament!$H$13:$H$52,B28,Tournament!$O$13:$O$52)+SUMIF(Tournament!$N$13:$N$52,B28,Tournament!$Q$13:$Q$52)</f>
        <v>0</v>
      </c>
      <c r="J28" s="75">
        <f>SUMIF(Tournament!$N$13:$N$52,B28,Tournament!$O$13:$O$52)+SUMIF(Tournament!$H$13:$H$52,B28,Tournament!$Q$13:$Q$52)</f>
        <v>0</v>
      </c>
      <c r="K28" s="75">
        <f t="shared" si="146"/>
        <v>1000</v>
      </c>
      <c r="L28" s="75">
        <f t="shared" si="147"/>
        <v>0</v>
      </c>
      <c r="M28" s="75">
        <f>SUMIF(DV:DV,B28,EB:EB)+SUMIF(DY:DY,B28,EC:EC)</f>
        <v>4</v>
      </c>
      <c r="N28" s="75">
        <f>SUMIF(DV:DV,B28,ED:ED)+SUMIF(DY:DY,B28,EE:EE)</f>
        <v>0</v>
      </c>
      <c r="O28" s="75">
        <f t="shared" si="148"/>
        <v>4</v>
      </c>
      <c r="P28" s="75">
        <v>18</v>
      </c>
      <c r="Q28" s="75">
        <f t="shared" si="159"/>
        <v>1</v>
      </c>
      <c r="S28" s="75">
        <f>RANK(O28,$O$25:$O$29)+COUNTIF($O$25:O28,O28)-1</f>
        <v>4</v>
      </c>
      <c r="T28" s="75" t="str">
        <f>INDEX($B$25:$B$29,MATCH(4,$S$25:$S$29,0),0)</f>
        <v>Canada</v>
      </c>
      <c r="U28" s="75">
        <f t="shared" si="160"/>
        <v>1</v>
      </c>
      <c r="V28" s="75" t="str">
        <f>IF(AND(V27&lt;&gt;"",U28=1),T28,"")</f>
        <v>Canada</v>
      </c>
      <c r="W28" s="75" t="str">
        <f>IF(AND(W27&lt;&gt;"",U29=2),T29,"")</f>
        <v/>
      </c>
      <c r="AA28" s="75" t="str">
        <f t="shared" si="161"/>
        <v>Canada</v>
      </c>
      <c r="AB28" s="75">
        <f>SUMPRODUCT((DV3:DV42=AA28)*(DY3:DY42=AA29)*(EF3:EF42="W"))+SUMPRODUCT((DV3:DV42=AA28)*(DY3:DY42=AA25)*(EF3:EF42="W"))+SUMPRODUCT((DV3:DV42=AA28)*(DY3:DY42=AA26)*(EF3:EF42="W"))+SUMPRODUCT((DV3:DV42=AA28)*(DY3:DY42=AA27)*(EF3:EF42="W"))+SUMPRODUCT((DV3:DV42=AA29)*(DY3:DY42=AA28)*(EG3:EG42="W"))+SUMPRODUCT((DV3:DV42=AA25)*(DY3:DY42=AA28)*(EG3:EG42="W"))+SUMPRODUCT((DV3:DV42=AA26)*(DY3:DY42=AA28)*(EG3:EG42="W"))+SUMPRODUCT((DV3:DV42=AA27)*(DY3:DY42=AA28)*(EG3:EG42="W"))</f>
        <v>0</v>
      </c>
      <c r="AC28" s="75">
        <f>SUMPRODUCT((DV3:DV42=AA28)*(DY3:DY42=AA29)*(EF3:EF42="D"))+SUMPRODUCT((DV3:DV42=AA28)*(DY3:DY42=AA25)*(EF3:EF42="D"))+SUMPRODUCT((DV3:DV42=AA28)*(DY3:DY42=AA26)*(EF3:EF42="D"))+SUMPRODUCT((DV3:DV42=AA28)*(DY3:DY42=AA27)*(EF3:EF42="D"))+SUMPRODUCT((DV3:DV42=AA29)*(DY3:DY42=AA28)*(EF3:EF42="D"))+SUMPRODUCT((DV3:DV42=AA25)*(DY3:DY42=AA28)*(EF3:EF42="D"))+SUMPRODUCT((DV3:DV42=AA26)*(DY3:DY42=AA28)*(EF3:EF42="D"))+SUMPRODUCT((DV3:DV42=AA27)*(DY3:DY42=AA28)*(EF3:EF42="D"))</f>
        <v>0</v>
      </c>
      <c r="AD28" s="75">
        <f>SUMPRODUCT((DV3:DV42=AA28)*(DY3:DY42=AA29)*(EF3:EF42="L"))+SUMPRODUCT((DV3:DV42=AA28)*(DY3:DY42=AA25)*(EF3:EF42="L"))+SUMPRODUCT((DV3:DV42=AA28)*(DY3:DY42=AA26)*(EF3:EF42="L"))+SUMPRODUCT((DV3:DV42=AA28)*(DY3:DY42=AA27)*(EF3:EF42="L"))+SUMPRODUCT((DV3:DV42=AA29)*(DY3:DY42=AA28)*(EG3:EG42="L"))+SUMPRODUCT((DV3:DV42=AA25)*(DY3:DY42=AA28)*(EG3:EG42="L"))+SUMPRODUCT((DV3:DV42=AA26)*(DY3:DY42=AA28)*(EG3:EG42="L"))+SUMPRODUCT((DV3:DV42=AA27)*(DY3:DY42=AA28)*(EG3:EG42="L"))</f>
        <v>0</v>
      </c>
      <c r="AE28" s="75">
        <f>IF(AA28&lt;&gt;"",VLOOKUP(AA28,B4:F29,5,FALSE),0)</f>
        <v>0</v>
      </c>
      <c r="AF28" s="75">
        <f>IF(AA28&lt;&gt;"",VLOOKUP(AA28,B4:G29,6,FALSE),0)</f>
        <v>0</v>
      </c>
      <c r="AG28" s="75">
        <f>AE28-AF28+1000</f>
        <v>1000</v>
      </c>
      <c r="AH28" s="75">
        <f>IF(AA28&lt;&gt;"",VLOOKUP(AA28,B4:I29,8,FALSE),0)</f>
        <v>0</v>
      </c>
      <c r="AI28" s="75">
        <f>IF(AA28&lt;&gt;"",VLOOKUP(AA28,B4:J29,9,FALSE),0)</f>
        <v>0</v>
      </c>
      <c r="AJ28" s="75">
        <f>IF(AA28&lt;&gt;"",AH28-AI28+1000,"")</f>
        <v>1000</v>
      </c>
      <c r="AK28" s="75">
        <f>IF(AA28&lt;&gt;"",VLOOKUP(AA28,B25:F29,5,FALSE),"")</f>
        <v>0</v>
      </c>
      <c r="AL28" s="75">
        <f>IF(AA28&lt;&gt;"",VLOOKUP(AA28,B25:I29,8,FALSE),"")</f>
        <v>0</v>
      </c>
      <c r="AM28" s="75">
        <f>IF(AA28&lt;&gt;"",VLOOKUP(AA28,B25:P29,15,FALSE),"")</f>
        <v>18</v>
      </c>
      <c r="AN28" s="75">
        <f>SUMPRODUCT((DV3:DV42=AA28)*(DY3:DY42=AA29)*EB3:EB42)+SUMPRODUCT((DV3:DV42=AA28)*(DY3:DY42=AA25)*EB3:EB42)+SUMPRODUCT((DV3:DV42=AA28)*(DY3:DY42=AA26)*EB3:EB42)+SUMPRODUCT((DV3:DV42=AA28)*(DY3:DY42=AA27)*EB3:EB42)+SUMPRODUCT((DV3:DV42=AA29)*(DY3:DY42=AA28)*EC3:EC42)+SUMPRODUCT((DV3:DV42=AA25)*(DY3:DY42=AA28)*EC3:EC42)+SUMPRODUCT((DV3:DV42=AA26)*(DY3:DY42=AA28)*EC3:EC42)+SUMPRODUCT((DV3:DV42=AA27)*(DY3:DY42=AA28)*EC3:EC42)</f>
        <v>4</v>
      </c>
      <c r="AO28" s="75">
        <f>SUMPRODUCT((DV3:DV42=AA28)*(DY3:DY42=AA29)*ED3:ED42)+SUMPRODUCT((DV3:DV42=AA28)*(DY3:DY42=AA25)*ED3:ED42)+SUMPRODUCT((DV3:DV42=AA28)*(DY3:DY42=AA26)*ED3:ED42)+SUMPRODUCT((DV3:DV42=AA28)*(DY3:DY42=AA27)*ED3:ED42)+SUMPRODUCT((DV3:DV42=AA29)*(DY3:DY42=AA28)*EE3:EE42)+SUMPRODUCT((DV3:DV42=AA25)*(DY3:DY42=AA28)*EE3:EE42)+SUMPRODUCT((DV3:DV42=AA26)*(DY3:DY42=AA28)*EE3:EE42)+SUMPRODUCT((DV3:DV42=AA27)*(DY3:DY42=AA28)*EE3:EE42)</f>
        <v>0</v>
      </c>
      <c r="AP28" s="75">
        <f>IF(AA28&lt;&gt;"",AB28*4+AC28*2+AN28+AO28,"")</f>
        <v>4</v>
      </c>
      <c r="AQ28" s="75">
        <f>IF(AA28&lt;&gt;"",RANK(AP28,AP25:AP29),"")</f>
        <v>1</v>
      </c>
      <c r="AR28" s="75">
        <f>SUMPRODUCT((AP25:AP29=AP28)*(AG25:AG29&gt;AG28))</f>
        <v>0</v>
      </c>
      <c r="AS28" s="75">
        <f>SUMPRODUCT((AP25:AP29=AP28)*(AG25:AG29=AG28)*(AJ25:AJ29&gt;AJ28))</f>
        <v>0</v>
      </c>
      <c r="AT28" s="75">
        <f>SUMPRODUCT((AP25:AP29=AP28)*(AG25:AG29=AG28)*(AJ25:AJ29=AJ28)*(AK25:AK29&gt;AK28))</f>
        <v>0</v>
      </c>
      <c r="AU28" s="75">
        <f>SUMPRODUCT((AP25:AP29=AP28)*(AG25:AG29=AG28)*(AJ25:AJ29=AJ28)*(AK25:AK29=AK28)*(AL25:AL29&gt;AL28))</f>
        <v>0</v>
      </c>
      <c r="AV28" s="75">
        <f>SUMPRODUCT((AP25:AP29=AP28)*(AG25:AG29=AG28)*(AJ25:AJ29=AJ28)*(AK25:AK29=AK28)*(AL25:AL29=AL28)*(AM25:AM29&gt;AM28))</f>
        <v>0</v>
      </c>
      <c r="AW28" s="75">
        <f t="shared" si="164"/>
        <v>1</v>
      </c>
      <c r="AX28" s="75" t="str">
        <f>IF(AA28&lt;&gt;"",INDEX(AA25:AA29,MATCH(4,AW25:AW29,0),0),"")</f>
        <v>France</v>
      </c>
      <c r="AY28" s="75" t="str">
        <f>IF(W27&lt;&gt;"",W27,"")</f>
        <v/>
      </c>
      <c r="AZ28" s="75" t="str">
        <f>IF(AY28&lt;&gt;"",SUMPRODUCT((DV3:DV42=AY28)*(DY3:DY42=AY29)*(EF3:EF42="W"))+SUMPRODUCT((DV3:DV42=AY28)*(DY3:DY42=AY26)*(EF3:EF42="W"))+SUMPRODUCT((DV3:DV42=AY28)*(DY3:DY42=AY27)*(EF3:EF42="W"))+SUMPRODUCT((DV3:DV42=AY29)*(DY3:DY42=AY28)*(EG3:EG42="W"))+SUMPRODUCT((DV3:DV42=AY26)*(DY3:DY42=AY28)*(EG3:EG42="W"))+SUMPRODUCT((DV3:DV42=AY27)*(DY3:DY42=AY28)*(EG3:EG42="W")),"")</f>
        <v/>
      </c>
      <c r="BA28" s="75" t="str">
        <f>IF(AY28&lt;&gt;"",SUMPRODUCT((DV3:DV42=AY28)*(DY3:DY42=AY29)*(EF3:EF42="D"))+SUMPRODUCT((DV3:DV42=AY28)*(DY3:DY42=AY26)*(EF3:EF42="D"))+SUMPRODUCT((DV3:DV42=AY28)*(DY3:DY42=AY27)*(EF3:EF42="D"))+SUMPRODUCT((DV3:DV42=AY29)*(DY3:DY42=AY28)*(EF3:EF42="D"))+SUMPRODUCT((DV3:DV42=AY26)*(DY3:DY42=AY28)*(EF3:EF42="D"))+SUMPRODUCT((DV3:DV42=AY27)*(DY3:DY42=AY28)*(EF3:EF42="D")),"")</f>
        <v/>
      </c>
      <c r="BB28" s="75" t="str">
        <f>IF(AY28&lt;&gt;"",SUMPRODUCT((DV3:DV42=AY28)*(DY3:DY42=AY29)*(EF3:EF42="L"))+SUMPRODUCT((DV3:DV42=AY28)*(DY3:DY42=AY26)*(EF3:EF42="L"))+SUMPRODUCT((DV3:DV42=AY28)*(DY3:DY42=AY27)*(EF3:EF42="L"))+SUMPRODUCT((DV3:DV42=AY29)*(DY3:DY42=AY28)*(EG3:EG42="L"))+SUMPRODUCT((DV3:DV42=AY26)*(DY3:DY42=AY28)*(EG3:EG42="L"))+SUMPRODUCT((DV3:DV42=AY27)*(DY3:DY42=AY28)*(EG3:EG42="L")),"")</f>
        <v/>
      </c>
      <c r="BC28" s="75">
        <f>IF(AY28&lt;&gt;"",VLOOKUP(AY28,B4:F29,5,FALSE),0)</f>
        <v>0</v>
      </c>
      <c r="BD28" s="75">
        <f>IF(AY28&lt;&gt;"",VLOOKUP(AY28,B4:G29,6,FALSE),0)</f>
        <v>0</v>
      </c>
      <c r="BE28" s="75">
        <f>BC28-BD28+1000</f>
        <v>1000</v>
      </c>
      <c r="BF28" s="75">
        <f>IF(AY28&lt;&gt;"",VLOOKUP(AY28,B4:I29,8,FALSE),0)</f>
        <v>0</v>
      </c>
      <c r="BG28" s="75">
        <f>IF(AY28&lt;&gt;"",VLOOKUP(AY28,B4:J29,9,FALSE),0)</f>
        <v>0</v>
      </c>
      <c r="BH28" s="75" t="str">
        <f>IF(AY28&lt;&gt;"",BF28-BG28+1000,"")</f>
        <v/>
      </c>
      <c r="BI28" s="75" t="str">
        <f>IF(AY28&lt;&gt;"",VLOOKUP(AY28,B25:F29,5,FALSE),"")</f>
        <v/>
      </c>
      <c r="BJ28" s="75" t="str">
        <f>IF(AY28&lt;&gt;"",VLOOKUP(AY28,B25:I29,8,FALSE),"")</f>
        <v/>
      </c>
      <c r="BK28" s="75" t="str">
        <f>IF(AY28&lt;&gt;"",VLOOKUP(AY28,B25:P29,15,FALSE),"")</f>
        <v/>
      </c>
      <c r="BL28" s="75" t="str">
        <f>IF(AY28&lt;&gt;"",SUMPRODUCT((DV3:DV42=AY28)*(DY3:DY42=AY29)*EB3:EB42)+SUMPRODUCT((DV3:DV42=AY28)*(DY3:DY42=AY26)*EB3:EB42)+SUMPRODUCT((DV3:DV42=AY28)*(DY3:DY42=AY27)*EB3:EB42)+SUMPRODUCT((DV3:DV42=AY29)*(DY3:DY42=AY28)*EC3:EC42)+SUMPRODUCT((DV3:DV42=AY26)*(DY3:DY42=AY28)*EC3:EC42)+SUMPRODUCT((DV3:DV42=AY27)*(DY3:DY42=AY28)*EC3:EC42),"")</f>
        <v/>
      </c>
      <c r="BM28" s="75" t="str">
        <f>IF(AY28&lt;&gt;"",SUMPRODUCT((DV3:DV42=AY28)*(DY3:DY42=AY29)*ED3:ED42)+SUMPRODUCT((DV3:DV42=AY28)*(DY3:DY42=AY26)*ED3:ED42)+SUMPRODUCT((DV3:DV42=AY28)*(DY3:DY42=AY27)*ED3:ED42)+SUMPRODUCT((DV3:DV42=AY29)*(DY3:DY42=AY28)*EE3:EE42)+SUMPRODUCT((DV3:DV42=AY26)*(DY3:DY42=AY28)*EE3:EE42)+SUMPRODUCT((DV3:DV42=AY27)*(DY3:DY42=AY28)*EE3:EE42),"")</f>
        <v/>
      </c>
      <c r="BN28" s="75" t="str">
        <f>IF(AY28&lt;&gt;"",AZ28*4+BA28*2+BL28+BM28,"")</f>
        <v/>
      </c>
      <c r="BO28" s="75" t="str">
        <f>IF(AY28&lt;&gt;"",RANK(BN28,BN26:BN29),"")</f>
        <v/>
      </c>
      <c r="BP28" s="75">
        <f>SUMPRODUCT((BN26:BN29=BN28)*(BE26:BE29&gt;BE28))</f>
        <v>0</v>
      </c>
      <c r="BQ28" s="75">
        <f>SUMPRODUCT((BN26:BN29=BN28)*(BE26:BE29=BE28)*(BH26:BH29&gt;BH28))</f>
        <v>0</v>
      </c>
      <c r="BR28" s="75">
        <f>SUMPRODUCT((BN25:BN29=BN28)*(BE25:BE29=BE28)*(BH25:BH29=BH28)*(BI25:BI29&gt;BI28))</f>
        <v>0</v>
      </c>
      <c r="BS28" s="75">
        <f>SUMPRODUCT((BN25:BN29=BN28)*(BE25:BE29=BE28)*(BH25:BH29=BH28)*(BI25:BI29=BI28)*(BJ25:BJ29&gt;BJ28))</f>
        <v>0</v>
      </c>
      <c r="BT28" s="75">
        <f>SUMPRODUCT((BN25:BN29=BN28)*(BE25:BE29=BE28)*(BH25:BH29=BH28)*(BI25:BI29=BI28)*(BJ25:BJ29=BJ28)*(BK25:BK29&gt;BK28))</f>
        <v>0</v>
      </c>
      <c r="BU28" s="75" t="str">
        <f t="shared" si="165"/>
        <v/>
      </c>
      <c r="BV28" s="75" t="str">
        <f>IF(AY28&lt;&gt;"",INDEX(AY26:AY29,MATCH(4,BU26:BU29,0),0),"")</f>
        <v/>
      </c>
      <c r="BW28" s="75" t="str">
        <f>IF(X26&lt;&gt;"",X26,"")</f>
        <v/>
      </c>
      <c r="BX28" s="75">
        <f>SUMPRODUCT((DV3:DV42=BW28)*(DY3:DY42=BW29)*(EF3:EF42="W"))+SUMPRODUCT((DV3:DV42=BW28)*(DY3:DY42=BW30)*(EF3:EF42="W"))+SUMPRODUCT((DV3:DV42=BW28)*(DY3:DY42=BW27)*(EF3:EF42="W"))+SUMPRODUCT((DV3:DV42=BW29)*(DY3:DY42=BW28)*(EG3:EG42="W"))+SUMPRODUCT((DV3:DV42=BW30)*(DY3:DY42=BW28)*(EG3:EG42="W"))+SUMPRODUCT((DV3:DV42=BW27)*(DY3:DY42=BW28)*(EG3:EG42="W"))</f>
        <v>0</v>
      </c>
      <c r="BY28" s="75">
        <f>SUMPRODUCT((DV3:DV42=BW28)*(DY3:DY42=BW29)*(EF3:EF42="D"))+SUMPRODUCT((DV3:DV42=BW28)*(DY3:DY42=BW30)*(EF3:EF42="D"))+SUMPRODUCT((DV3:DV42=BW28)*(DY3:DY42=BW27)*(EF3:EF42="D"))+SUMPRODUCT((DV3:DV42=BW29)*(DY3:DY42=BW28)*(EF3:EF42="D"))+SUMPRODUCT((DV3:DV42=BW30)*(DY3:DY42=BW28)*(EF3:EF42="D"))+SUMPRODUCT((DV3:DV42=BW27)*(DY3:DY42=BW28)*(EF3:EF42="D"))</f>
        <v>0</v>
      </c>
      <c r="BZ28" s="75">
        <f>SUMPRODUCT((DV3:DV42=BW28)*(DY3:DY42=BW29)*(EF3:EF42="L"))+SUMPRODUCT((DV3:DV42=BW28)*(DY3:DY42=BW30)*(EF3:EF42="L"))+SUMPRODUCT((DV3:DV42=BW28)*(DY3:DY42=BW27)*(EF3:EF42="L"))+SUMPRODUCT((DV3:DV42=BW29)*(DY3:DY42=BW28)*(EG3:EG42="L"))+SUMPRODUCT((DV3:DV42=BW30)*(DY3:DY42=BW28)*(EG3:EG42="L"))+SUMPRODUCT((DV3:DV42=BW27)*(DY3:DY42=BW28)*(EG3:EG42="L"))</f>
        <v>0</v>
      </c>
      <c r="CA28" s="75">
        <f>IF(BW28&lt;&gt;"",VLOOKUP(BW28,B4:F29,5,FALSE),0)</f>
        <v>0</v>
      </c>
      <c r="CB28" s="75">
        <f>IF(BW28&lt;&gt;"",VLOOKUP(BW28,B4:G29,6,FALSE),0)</f>
        <v>0</v>
      </c>
      <c r="CC28" s="75">
        <f>CA28-CB28+1000</f>
        <v>1000</v>
      </c>
      <c r="CD28" s="75">
        <f>IF(BW28&lt;&gt;"",VLOOKUP(BW28,B4:I29,8,FALSE),0)</f>
        <v>0</v>
      </c>
      <c r="CE28" s="75">
        <f>IF(BW28&lt;&gt;"",VLOOKUP(BW28,B4:J29,9,FALSE),0)</f>
        <v>0</v>
      </c>
      <c r="CF28" s="75">
        <f t="shared" ref="CF28" si="180">CD28-CE28+1000</f>
        <v>1000</v>
      </c>
      <c r="CG28" s="75" t="str">
        <f>IF(BW28&lt;&gt;"",VLOOKUP(BW28,B25:F29,5,FALSE),"")</f>
        <v/>
      </c>
      <c r="CH28" s="75" t="str">
        <f>IF(BW28&lt;&gt;"",VLOOKUP(BW28,B25:I29,8,FALSE),"")</f>
        <v/>
      </c>
      <c r="CI28" s="75" t="str">
        <f>IF(BW28&lt;&gt;"",VLOOKUP(BW28,B25:P29,15,FALSE),"")</f>
        <v/>
      </c>
      <c r="CJ28" s="75">
        <f>SUMPRODUCT((DV3:DV42=BW28)*(DY3:DY42=BW29)*EB3:EB42)+SUMPRODUCT((DV3:DV42=BW28)*(DY3:DY42=BW30)*EB3:EB42)+SUMPRODUCT((DV3:DV42=BW28)*(DY3:DY42=BW27)*EB3:EB42)+SUMPRODUCT((DV3:DV42=BW29)*(DY3:DY42=BW28)*EC3:EC42)+SUMPRODUCT((DV3:DV42=BW30)*(DY3:DY42=BW28)*EC3:EC42)+SUMPRODUCT((DV3:DV42=BW27)*(DY3:DY42=BW28)*EC3:EC42)</f>
        <v>0</v>
      </c>
      <c r="CK28" s="75">
        <f>SUMPRODUCT((DV3:DV42=BW28)*(DY3:DY42=BW29)*ED3:ED42)+SUMPRODUCT((DV3:DV42=BW28)*(DY3:DY42=BW30)*ED3:ED42)+SUMPRODUCT((DV3:DV42=BW28)*(DY3:DY42=BW27)*ED3:ED42)+SUMPRODUCT((DV3:DV42=BW29)*(DY3:DY42=BW28)*EE3:EE42)+SUMPRODUCT((DV3:DV42=BW30)*(DY3:DY42=BW28)*EE3:EE42)+SUMPRODUCT((DV3:DV42=BW27)*(DY3:DY42=BW28)*EE3:EE42)</f>
        <v>0</v>
      </c>
      <c r="CL28" s="75">
        <f t="shared" ref="CL28" si="181">BX28*4+BY28*2+CJ28+CK28</f>
        <v>0</v>
      </c>
      <c r="CM28" s="75" t="str">
        <f>IF(BW28&lt;&gt;"",RANK(CL28,CL27:CL30),"")</f>
        <v/>
      </c>
      <c r="CN28" s="75">
        <f>SUMPRODUCT((CL27:CL30=CL28)*(CC27:CC30&gt;CC28))</f>
        <v>0</v>
      </c>
      <c r="CO28" s="75">
        <f>SUMPRODUCT((CL27:CL30=CL28)*(CC27:CC30=CC28)*(CF27:CF30&gt;CF28))</f>
        <v>0</v>
      </c>
      <c r="CP28" s="75">
        <f>SUMPRODUCT((CL25:CL29=CL28)*(CC25:CC29=CC28)*(CF25:CF29=CF28)*(CG25:CG29&gt;CG28))</f>
        <v>0</v>
      </c>
      <c r="CQ28" s="75">
        <f>SUMPRODUCT((CL25:CL29=CL28)*(CC25:CC29=CC28)*(CF25:CF29=CF28)*(CG25:CG29=CG28)*(CH25:CH29&gt;CH28))</f>
        <v>0</v>
      </c>
      <c r="CR28" s="75">
        <f>SUMPRODUCT((CL25:CL29=CL28)*(CC25:CC29=CC28)*(CF25:CF29=CF28)*(CG25:CG29=CG28)*(CH25:CH29=CH28)*(CI25:CI29&gt;CI28))</f>
        <v>0</v>
      </c>
      <c r="CS28" s="75" t="str">
        <f t="shared" si="177"/>
        <v/>
      </c>
      <c r="CT28" s="75" t="str">
        <f>IF(BW28&lt;&gt;"",INDEX(BW27:BW29,MATCH(4,CS27:CS29,0),0),"")</f>
        <v/>
      </c>
      <c r="CU28" s="75" t="str">
        <f>IF(Y25&lt;&gt;"",Y25,"")</f>
        <v/>
      </c>
      <c r="CV28" s="75">
        <f>SUMPRODUCT((DV3:DV42=CU28)*(DY3:DY42=CU29)*(EF3:EF42="W"))+SUMPRODUCT((DV3:DV42=CU28)*(DY3:DY42=CU30)*(EF3:EF42="W"))+SUMPRODUCT((DV3:DV42=CU28)*(DY3:DY42=CU31)*(EF3:EF42="W"))+SUMPRODUCT((DV3:DV42=CU29)*(DY3:DY42=CU28)*(EG3:EG42="W"))+SUMPRODUCT((DV3:DV42=CU30)*(DY3:DY42=CU28)*(EG3:EG42="W"))+SUMPRODUCT((DV3:DV42=CU31)*(DY3:DY42=CU28)*(EG3:EG42="W"))</f>
        <v>0</v>
      </c>
      <c r="CW28" s="75">
        <f>SUMPRODUCT((DV3:DV42=CU28)*(DY3:DY42=CU29)*(EF3:EF42="D"))+SUMPRODUCT((DV3:DV42=CU28)*(DY3:DY42=CU30)*(EF3:EF42="D"))+SUMPRODUCT((DV3:DV42=CU28)*(DY3:DY42=CU31)*(EF3:EF42="D"))+SUMPRODUCT((DV3:DV42=CU29)*(DY3:DY42=CU28)*(EF3:EF42="D"))+SUMPRODUCT((DV3:DV42=CU30)*(DY3:DY42=CU28)*(EF3:EF42="D"))+SUMPRODUCT((DV3:DV42=CU31)*(DY3:DY42=CU28)*(EF3:EF42="D"))</f>
        <v>0</v>
      </c>
      <c r="CX28" s="75">
        <f>SUMPRODUCT((DV3:DV42=CU28)*(DY3:DY42=CU29)*(EF3:EF42="L"))+SUMPRODUCT((DV3:DV42=CU28)*(DY3:DY42=CU30)*(EF3:EF42="L"))+SUMPRODUCT((DV3:DV42=CU28)*(DY3:DY42=CU31)*(EF3:EF42="L"))+SUMPRODUCT((DV3:DV42=CU29)*(DY3:DY42=CU28)*(EG3:EG42="L"))+SUMPRODUCT((DV3:DV42=CU30)*(DY3:DY42=CU28)*(EG3:EG42="L"))+SUMPRODUCT((DV3:DV42=CU31)*(DY3:DY42=CU28)*(EG3:EG42="L"))</f>
        <v>0</v>
      </c>
      <c r="CY28" s="75">
        <f>IF(CU28&lt;&gt;"",VLOOKUP(CU28,B4:F29,5,FALSE),0)</f>
        <v>0</v>
      </c>
      <c r="CZ28" s="75">
        <f>IF(CU28&lt;&gt;"",VLOOKUP(CU28,B4:G29,6,FALSE),0)</f>
        <v>0</v>
      </c>
      <c r="DA28" s="75">
        <f>CY28-CZ28+1000</f>
        <v>1000</v>
      </c>
      <c r="DB28" s="75">
        <f>IF(CU28&lt;&gt;"",VLOOKUP(CU28,B4:I29,8,FALSE),0)</f>
        <v>0</v>
      </c>
      <c r="DC28" s="75">
        <f>IF(CU28&lt;&gt;"",VLOOKUP(CU28,B4:J29,9,FALSE),0)</f>
        <v>0</v>
      </c>
      <c r="DD28" s="75">
        <f>DB28-DC28+1000</f>
        <v>1000</v>
      </c>
      <c r="DE28" s="75" t="str">
        <f>IF(CU28&lt;&gt;"",VLOOKUP(CU28,B25:F29,5,FALSE),"")</f>
        <v/>
      </c>
      <c r="DF28" s="75" t="str">
        <f>IF(CU28&lt;&gt;"",VLOOKUP(CU28,B25:I29,8,FALSE),"")</f>
        <v/>
      </c>
      <c r="DG28" s="75" t="str">
        <f>IF(CU28&lt;&gt;"",VLOOKUP(CU28,B25:P29,15,FALSE),"")</f>
        <v/>
      </c>
      <c r="DH28" s="75">
        <f>SUMPRODUCT((DV3:DV42=CU28)*(DY3:DY42=CU29)*EB3:EB42)+SUMPRODUCT((DV3:DV42=CU28)*(DY3:DY42=CU30)*EB3:EB42)+SUMPRODUCT((DV3:DV42=CU28)*(DY3:DY42=CU31)*EB3:EB42)+SUMPRODUCT((DV3:DV42=CU29)*(DY3:DY42=CU28)*EC3:EC42)+SUMPRODUCT((DV3:DV42=CU30)*(DY3:DY42=CU28)*EC3:EC42)+SUMPRODUCT((DV3:DV42=CU31)*(DY3:DY42=CU28)*EC3:EC42)</f>
        <v>0</v>
      </c>
      <c r="DI28" s="75">
        <f>SUMPRODUCT((DV3:DV42=CU28)*(DY3:DY42=CU29)*ED3:ED42)+SUMPRODUCT((DV3:DV42=CU28)*(DY3:DY42=CU30)*ED3:ED42)+SUMPRODUCT((DV3:DV42=CU28)*(DY3:DY42=CU31)*ED3:ED42)+SUMPRODUCT((DV3:DV42=CU29)*(DY3:DY42=CU28)*EE3:EE42)+SUMPRODUCT((DV3:DV42=CU30)*(DY3:DY42=CU28)*EE3:EE42)+SUMPRODUCT((DV3:DV42=CU31)*(DY3:DY42=CU28)*EE3:EE42)</f>
        <v>0</v>
      </c>
      <c r="DJ28" s="75">
        <f>CV28*4+CW28*2+DH28+DI28</f>
        <v>0</v>
      </c>
      <c r="DK28" s="75" t="str">
        <f>IF(CU28&lt;&gt;"",RANK(DJ28,DJ28:DJ31),"")</f>
        <v/>
      </c>
      <c r="DL28" s="75">
        <f>SUMPRODUCT((DJ28:DJ31=DJ28)*(DA28:DA31&gt;DA28))</f>
        <v>0</v>
      </c>
      <c r="DM28" s="75">
        <f>SUMPRODUCT((DJ28:DJ31=DJ28)*(DA28:DA31=DA28)*(DD28:DD31&gt;DD28))</f>
        <v>0</v>
      </c>
      <c r="DN28" s="75">
        <f>SUMPRODUCT((DJ25:DJ29=DJ28)*(DA25:DA29=DA28)*(DD25:DD29=DD28)*(DE25:DE29&gt;DE28))</f>
        <v>0</v>
      </c>
      <c r="DO28" s="75">
        <f>SUMPRODUCT((DJ25:DJ29=DJ28)*(DA25:DA29=DA28)*(DD25:DD29=DD28)*(DE25:DE29=DE28)*(DF25:DF29&gt;DF28))</f>
        <v>0</v>
      </c>
      <c r="DP28" s="75">
        <f>SUMPRODUCT((DJ25:DJ29=DJ28)*(DA25:DA29=DA28)*(DD25:DD29=DD28)*(DE25:DE29=DE28)*(DF25:DF29=DF28)*(DG25:DG29&gt;DG28))</f>
        <v>0</v>
      </c>
      <c r="DQ28" s="75" t="str">
        <f t="shared" ref="DQ28:DQ29" si="182">IF(CU28&lt;&gt;"",SUM(DK28:DP28)+3,"")</f>
        <v/>
      </c>
      <c r="DR28" s="75" t="str">
        <f>IF(CU28&lt;&gt;"",IF(DQ28=4,CU28,CU29),"")</f>
        <v/>
      </c>
      <c r="DS28" s="75" t="str">
        <f>IF(DR28&lt;&gt;"",DR28,IF(CT28&lt;&gt;"",CT28,IF(BV28&lt;&gt;"",BV28,IF(AX28&lt;&gt;"",AX28,T28))))</f>
        <v>France</v>
      </c>
      <c r="DT28" s="75">
        <v>4</v>
      </c>
      <c r="DU28" s="75">
        <v>26</v>
      </c>
      <c r="DV28" s="75" t="str">
        <f>Tournament!H38</f>
        <v>England</v>
      </c>
      <c r="DW28" s="75">
        <f>IF(AND(Tournament!J38&lt;&gt;"",Tournament!L38&lt;&gt;""),Tournament!J38,0)</f>
        <v>0</v>
      </c>
      <c r="DX28" s="75">
        <f>IF(AND(Tournament!L38&lt;&gt;"",Tournament!J38&lt;&gt;""),Tournament!L38,0)</f>
        <v>0</v>
      </c>
      <c r="DY28" s="75" t="str">
        <f>Tournament!N38</f>
        <v>Australia</v>
      </c>
      <c r="DZ28" s="75">
        <f>IF(Tournament!O38&lt;&gt;"",Tournament!O38,0)</f>
        <v>0</v>
      </c>
      <c r="EA28" s="75">
        <f>IF(Tournament!Q38&lt;&gt;"",Tournament!Q38,0)</f>
        <v>0</v>
      </c>
      <c r="EB28" s="75">
        <f>IF(DW28&lt;&gt;"",IF(Tournament!O38&gt;3,1,0),0)</f>
        <v>1</v>
      </c>
      <c r="EC28" s="75">
        <f>IF(DX28&lt;&gt;"",IF(Tournament!Q38&gt;3,1,0),0)</f>
        <v>1</v>
      </c>
      <c r="ED28" s="75">
        <f t="shared" si="1"/>
        <v>0</v>
      </c>
      <c r="EE28" s="75">
        <f t="shared" si="2"/>
        <v>0</v>
      </c>
      <c r="EF28" s="75" t="str">
        <f>IF(AND(Tournament!J38&lt;&gt;"",Tournament!L38&lt;&gt;""),IF(DW28&gt;DX28,"W",IF(DW28=DX28,"D","L")),"")</f>
        <v/>
      </c>
      <c r="EG28" s="75" t="str">
        <f t="shared" si="3"/>
        <v/>
      </c>
      <c r="EH28" s="75">
        <f ca="1">VLOOKUP(EI28,IZ25:JA29,2,FALSE)</f>
        <v>1</v>
      </c>
      <c r="EI28" s="75" t="s">
        <v>38</v>
      </c>
      <c r="EJ28" s="75">
        <f t="shared" ca="1" si="150"/>
        <v>0</v>
      </c>
      <c r="EK28" s="75">
        <f t="shared" ca="1" si="151"/>
        <v>0</v>
      </c>
      <c r="EL28" s="75">
        <f t="shared" ca="1" si="152"/>
        <v>0</v>
      </c>
      <c r="EM28" s="75">
        <f t="shared" ca="1" si="153"/>
        <v>0</v>
      </c>
      <c r="EN28" s="75">
        <f t="shared" ca="1" si="166"/>
        <v>0</v>
      </c>
      <c r="EO28" s="75">
        <f t="shared" ca="1" si="154"/>
        <v>1000</v>
      </c>
      <c r="EP28" s="75">
        <f t="shared" ca="1" si="167"/>
        <v>0</v>
      </c>
      <c r="EQ28" s="75">
        <f t="shared" ca="1" si="168"/>
        <v>0</v>
      </c>
      <c r="ER28" s="75">
        <f t="shared" ca="1" si="155"/>
        <v>1000</v>
      </c>
      <c r="ES28" s="75">
        <f t="shared" ca="1" si="156"/>
        <v>0</v>
      </c>
      <c r="ET28" s="75">
        <f ca="1">SUMIF(JC:JC,EI28,JI:JI)+SUMIF(JF:JF,EI28,JJ:JJ)</f>
        <v>0</v>
      </c>
      <c r="EU28" s="75">
        <f ca="1">SUMIF(JC:JC,EI28,JK:JK)+SUMIF(JF:JF,EI28,JL:JL)</f>
        <v>0</v>
      </c>
      <c r="EV28" s="75">
        <f t="shared" ca="1" si="157"/>
        <v>0</v>
      </c>
      <c r="EW28" s="75">
        <v>18</v>
      </c>
      <c r="EX28" s="75">
        <f t="shared" ca="1" si="169"/>
        <v>1</v>
      </c>
      <c r="EZ28" s="75">
        <f ca="1">RANK(EV28,EV$25:EV$29)+COUNTIF(EV$25:EV28,EV28)-1</f>
        <v>4</v>
      </c>
      <c r="FA28" s="75" t="str">
        <f ca="1">INDEX(EI$25:EI$29,MATCH(4,EZ$25:EZ$29,0),0)</f>
        <v>Canada</v>
      </c>
      <c r="FB28" s="75">
        <f t="shared" ca="1" si="170"/>
        <v>1</v>
      </c>
      <c r="FC28" s="75" t="str">
        <f ca="1">IF(AND(FC27&lt;&gt;"",FB28=1),FA28,"")</f>
        <v>Canada</v>
      </c>
      <c r="FD28" s="75" t="str">
        <f ca="1">IF(AND(FD27&lt;&gt;"",FB29=2),FA29,"")</f>
        <v/>
      </c>
      <c r="FH28" s="75" t="str">
        <f t="shared" ca="1" si="171"/>
        <v>Canada</v>
      </c>
      <c r="FI28" s="75">
        <f ca="1">SUMPRODUCT((JC3:JC42=FH28)*(JF3:JF42=FH29)*(JM3:JM42="W"))+SUMPRODUCT((JC3:JC42=FH28)*(JF3:JF42=FH25)*(JM3:JM42="W"))+SUMPRODUCT((JC3:JC42=FH28)*(JF3:JF42=FH26)*(JM3:JM42="W"))+SUMPRODUCT((JC3:JC42=FH28)*(JF3:JF42=FH27)*(JM3:JM42="W"))+SUMPRODUCT((JC3:JC42=FH29)*(JF3:JF42=FH28)*(JN3:JN42="W"))+SUMPRODUCT((JC3:JC42=FH25)*(JF3:JF42=FH28)*(JN3:JN42="W"))+SUMPRODUCT((JC3:JC42=FH26)*(JF3:JF42=FH28)*(JN3:JN42="W"))+SUMPRODUCT((JC3:JC42=FH27)*(JF3:JF42=FH28)*(JN3:JN42="W"))</f>
        <v>0</v>
      </c>
      <c r="FJ28" s="75">
        <f ca="1">SUMPRODUCT((JC3:JC42=FH28)*(JF3:JF42=FH29)*(JM3:JM42="D"))+SUMPRODUCT((JC3:JC42=FH28)*(JF3:JF42=FH25)*(JM3:JM42="D"))+SUMPRODUCT((JC3:JC42=FH28)*(JF3:JF42=FH26)*(JM3:JM42="D"))+SUMPRODUCT((JC3:JC42=FH28)*(JF3:JF42=FH27)*(JM3:JM42="D"))+SUMPRODUCT((JC3:JC42=FH29)*(JF3:JF42=FH28)*(JM3:JM42="D"))+SUMPRODUCT((JC3:JC42=FH25)*(JF3:JF42=FH28)*(JM3:JM42="D"))+SUMPRODUCT((JC3:JC42=FH26)*(JF3:JF42=FH28)*(JM3:JM42="D"))+SUMPRODUCT((JC3:JC42=FH27)*(JF3:JF42=FH28)*(JM3:JM42="D"))</f>
        <v>0</v>
      </c>
      <c r="FK28" s="75">
        <f ca="1">SUMPRODUCT((JC3:JC42=FH28)*(JF3:JF42=FH29)*(JM3:JM42="L"))+SUMPRODUCT((JC3:JC42=FH28)*(JF3:JF42=FH25)*(JM3:JM42="L"))+SUMPRODUCT((JC3:JC42=FH28)*(JF3:JF42=FH26)*(JM3:JM42="L"))+SUMPRODUCT((JC3:JC42=FH28)*(JF3:JF42=FH27)*(JM3:JM42="L"))+SUMPRODUCT((JC3:JC42=FH29)*(JF3:JF42=FH28)*(JN3:JN42="L"))+SUMPRODUCT((JC3:JC42=FH25)*(JF3:JF42=FH28)*(JN3:JN42="L"))+SUMPRODUCT((JC3:JC42=FH26)*(JF3:JF42=FH28)*(JN3:JN42="L"))+SUMPRODUCT((JC3:JC42=FH27)*(JF3:JF42=FH28)*(JN3:JN42="L"))</f>
        <v>0</v>
      </c>
      <c r="FL28" s="75">
        <f ca="1">IF(FH28&lt;&gt;"",VLOOKUP(FH28,EI4:EM29,5,FALSE),0)</f>
        <v>0</v>
      </c>
      <c r="FM28" s="75">
        <f ca="1">IF(FH28&lt;&gt;"",VLOOKUP(FH28,EI4:EN29,6,FALSE),0)</f>
        <v>0</v>
      </c>
      <c r="FN28" s="75">
        <f ca="1">FL28-FM28+1000</f>
        <v>1000</v>
      </c>
      <c r="FO28" s="75">
        <f ca="1">IF(FH28&lt;&gt;"",VLOOKUP(FH28,EI4:EP29,8,FALSE),0)</f>
        <v>0</v>
      </c>
      <c r="FP28" s="75">
        <f ca="1">IF(FH28&lt;&gt;"",VLOOKUP(FH28,EI4:EQ29,9,FALSE),0)</f>
        <v>0</v>
      </c>
      <c r="FQ28" s="75">
        <f ca="1">IF(FH28&lt;&gt;"",FO28-FP28+1000,"")</f>
        <v>1000</v>
      </c>
      <c r="FR28" s="75">
        <f ca="1">IF(FH28&lt;&gt;"",VLOOKUP(FH28,EI25:EM29,5,FALSE),"")</f>
        <v>0</v>
      </c>
      <c r="FS28" s="75">
        <f ca="1">IF(FH28&lt;&gt;"",VLOOKUP(FH28,EI25:EP29,8,FALSE),"")</f>
        <v>0</v>
      </c>
      <c r="FT28" s="75">
        <f ca="1">IF(FH28&lt;&gt;"",VLOOKUP(FH28,EI25:EW29,15,FALSE),"")</f>
        <v>18</v>
      </c>
      <c r="FU28" s="75">
        <f ca="1">SUMPRODUCT((JC3:JC42=FH28)*(JF3:JF42=FH29)*JI3:JI42)+SUMPRODUCT((JC3:JC42=FH28)*(JF3:JF42=FH25)*JI3:JI42)+SUMPRODUCT((JC3:JC42=FH28)*(JF3:JF42=FH26)*JI3:JI42)+SUMPRODUCT((JC3:JC42=FH28)*(JF3:JF42=FH27)*JI3:JI42)+SUMPRODUCT((JC3:JC42=FH29)*(JF3:JF42=FH28)*JJ3:JJ42)+SUMPRODUCT((JC3:JC42=FH25)*(JF3:JF42=FH28)*JJ3:JJ42)+SUMPRODUCT((JC3:JC42=FH26)*(JF3:JF42=FH28)*JJ3:JJ42)+SUMPRODUCT((JC3:JC42=FH27)*(JF3:JF42=FH28)*JJ3:JJ42)</f>
        <v>0</v>
      </c>
      <c r="FV28" s="75">
        <f ca="1">SUMPRODUCT((JC3:JC42=FH28)*(JF3:JF42=FH29)*JK3:JK42)+SUMPRODUCT((JC3:JC42=FH28)*(JF3:JF42=FH25)*JK3:JK42)+SUMPRODUCT((JC3:JC42=FH28)*(JF3:JF42=FH26)*JK3:JK42)+SUMPRODUCT((JC3:JC42=FH28)*(JF3:JF42=FH27)*JK3:JK42)+SUMPRODUCT((JC3:JC42=FH29)*(JF3:JF42=FH28)*JL3:JL42)+SUMPRODUCT((JC3:JC42=FH25)*(JF3:JF42=FH28)*JL3:JL42)+SUMPRODUCT((JC3:JC42=FH26)*(JF3:JF42=FH28)*JL3:JL42)+SUMPRODUCT((JC3:JC42=FH27)*(JF3:JF42=FH28)*JL3:JL42)</f>
        <v>0</v>
      </c>
      <c r="FW28" s="75">
        <f ca="1">IF(FH28&lt;&gt;"",FI28*4+FJ28*2+FU28+FV28,"")</f>
        <v>0</v>
      </c>
      <c r="FX28" s="75">
        <f ca="1">IF(FH28&lt;&gt;"",RANK(FW28,FW25:FW29),"")</f>
        <v>1</v>
      </c>
      <c r="FY28" s="75">
        <f ca="1">SUMPRODUCT((FW25:FW29=FW28)*(FN25:FN29&gt;FN28))</f>
        <v>0</v>
      </c>
      <c r="FZ28" s="75">
        <f ca="1">SUMPRODUCT((FW25:FW29=FW28)*(FN25:FN29=FN28)*(FQ25:FQ29&gt;FQ28))</f>
        <v>0</v>
      </c>
      <c r="GA28" s="75">
        <f ca="1">SUMPRODUCT((FW25:FW29=FW28)*(FN25:FN29=FN28)*(FQ25:FQ29=FQ28)*(FR25:FR29&gt;FR28))</f>
        <v>0</v>
      </c>
      <c r="GB28" s="75">
        <f ca="1">SUMPRODUCT((FW25:FW29=FW28)*(FN25:FN29=FN28)*(FQ25:FQ29=FQ28)*(FR25:FR29=FR28)*(FS25:FS29&gt;FS28))</f>
        <v>0</v>
      </c>
      <c r="GC28" s="75">
        <f ca="1">SUMPRODUCT((FW25:FW29=FW28)*(FN25:FN29=FN28)*(FQ25:FQ29=FQ28)*(FR25:FR29=FR28)*(FS25:FS29=FS28)*(FT25:FT29&gt;FT28))</f>
        <v>0</v>
      </c>
      <c r="GD28" s="75">
        <f t="shared" ca="1" si="174"/>
        <v>1</v>
      </c>
      <c r="GE28" s="75" t="str">
        <f ca="1">IF(FH28&lt;&gt;"",INDEX(FH25:FH29,MATCH(4,GD25:GD29,0),0),"")</f>
        <v>France</v>
      </c>
      <c r="GF28" s="75" t="str">
        <f ca="1">IF(FD27&lt;&gt;"",FD27,"")</f>
        <v/>
      </c>
      <c r="GG28" s="75" t="str">
        <f ca="1">IF(GF28&lt;&gt;"",SUMPRODUCT((JC3:JC42=GF28)*(JF3:JF42=GF29)*(JM3:JM42="W"))+SUMPRODUCT((JC3:JC42=GF28)*(JF3:JF42=GF26)*(JM3:JM42="W"))+SUMPRODUCT((JC3:JC42=GF28)*(JF3:JF42=GF27)*(JM3:JM42="W"))+SUMPRODUCT((JC3:JC42=GF29)*(JF3:JF42=GF28)*(JN3:JN42="W"))+SUMPRODUCT((JC3:JC42=GF26)*(JF3:JF42=GF28)*(JN3:JN42="W"))+SUMPRODUCT((JC3:JC42=GF27)*(JF3:JF42=GF28)*(JN3:JN42="W")),"")</f>
        <v/>
      </c>
      <c r="GH28" s="75" t="str">
        <f ca="1">IF(GF28&lt;&gt;"",SUMPRODUCT((JC3:JC42=GF28)*(JF3:JF42=GF29)*(JM3:JM42="D"))+SUMPRODUCT((JC3:JC42=GF28)*(JF3:JF42=GF26)*(JM3:JM42="D"))+SUMPRODUCT((JC3:JC42=GF28)*(JF3:JF42=GF27)*(JM3:JM42="D"))+SUMPRODUCT((JC3:JC42=GF29)*(JF3:JF42=GF28)*(JM3:JM42="D"))+SUMPRODUCT((JC3:JC42=GF26)*(JF3:JF42=GF28)*(JM3:JM42="D"))+SUMPRODUCT((JC3:JC42=GF27)*(JF3:JF42=GF28)*(JM3:JM42="D")),"")</f>
        <v/>
      </c>
      <c r="GI28" s="75" t="str">
        <f ca="1">IF(GF28&lt;&gt;"",SUMPRODUCT((JC3:JC42=GF28)*(JF3:JF42=GF29)*(JM3:JM42="L"))+SUMPRODUCT((JC3:JC42=GF28)*(JF3:JF42=GF26)*(JM3:JM42="L"))+SUMPRODUCT((JC3:JC42=GF28)*(JF3:JF42=GF27)*(JM3:JM42="L"))+SUMPRODUCT((JC3:JC42=GF29)*(JF3:JF42=GF28)*(JN3:JN42="L"))+SUMPRODUCT((JC3:JC42=GF26)*(JF3:JF42=GF28)*(JN3:JN42="L"))+SUMPRODUCT((JC3:JC42=GF27)*(JF3:JF42=GF28)*(JN3:JN42="L")),"")</f>
        <v/>
      </c>
      <c r="GJ28" s="75">
        <f ca="1">IF(GF28&lt;&gt;"",VLOOKUP(GF28,EI4:EM29,5,FALSE),0)</f>
        <v>0</v>
      </c>
      <c r="GK28" s="75">
        <f ca="1">IF(GF28&lt;&gt;"",VLOOKUP(GF28,EI4:EN29,6,FALSE),0)</f>
        <v>0</v>
      </c>
      <c r="GL28" s="75">
        <f ca="1">GJ28-GK28+1000</f>
        <v>1000</v>
      </c>
      <c r="GM28" s="75">
        <f ca="1">IF(GF28&lt;&gt;"",VLOOKUP(GF28,EI4:EP29,8,FALSE),0)</f>
        <v>0</v>
      </c>
      <c r="GN28" s="75">
        <f ca="1">IF(GF28&lt;&gt;"",VLOOKUP(GF28,EI4:EQ29,9,FALSE),0)</f>
        <v>0</v>
      </c>
      <c r="GO28" s="75" t="str">
        <f ca="1">IF(GF28&lt;&gt;"",GM28-GN28+1000,"")</f>
        <v/>
      </c>
      <c r="GP28" s="75" t="str">
        <f ca="1">IF(GF28&lt;&gt;"",VLOOKUP(GF28,EI25:EM29,5,FALSE),"")</f>
        <v/>
      </c>
      <c r="GQ28" s="75" t="str">
        <f ca="1">IF(GF28&lt;&gt;"",VLOOKUP(GF28,EI25:EP29,8,FALSE),"")</f>
        <v/>
      </c>
      <c r="GR28" s="75" t="str">
        <f ca="1">IF(GF28&lt;&gt;"",VLOOKUP(GF28,EI25:EW29,15,FALSE),"")</f>
        <v/>
      </c>
      <c r="GS28" s="75" t="str">
        <f ca="1">IF(GF28&lt;&gt;"",SUMPRODUCT((JC3:JC42=GF28)*(JF3:JF42=GF29)*JI3:JI42)+SUMPRODUCT((JC3:JC42=GF28)*(JF3:JF42=GF26)*JI3:JI42)+SUMPRODUCT((JC3:JC42=GF28)*(JF3:JF42=GF27)*JI3:JI42)+SUMPRODUCT((JC3:JC42=GF29)*(JF3:JF42=GF28)*JJ3:JJ42)+SUMPRODUCT((JC3:JC42=GF26)*(JF3:JF42=GF28)*JJ3:JJ42)+SUMPRODUCT((JC3:JC42=GF27)*(JF3:JF42=GF28)*JJ3:JJ42),"")</f>
        <v/>
      </c>
      <c r="GT28" s="75" t="str">
        <f ca="1">IF(GF28&lt;&gt;"",SUMPRODUCT((JC3:JC42=GF28)*(JF3:JF42=GF29)*JK3:JK42)+SUMPRODUCT((JC3:JC42=GF28)*(JF3:JF42=GF26)*JK3:JK42)+SUMPRODUCT((JC3:JC42=GF28)*(JF3:JF42=GF27)*JK3:JK42)+SUMPRODUCT((JC3:JC42=GF29)*(JF3:JF42=GF28)*JL3:JL42)+SUMPRODUCT((JC3:JC42=GF26)*(JF3:JF42=GF28)*JL3:JL42)+SUMPRODUCT((JC3:JC42=GF27)*(JF3:JF42=GF28)*JL3:JL42),"")</f>
        <v/>
      </c>
      <c r="GU28" s="75" t="str">
        <f ca="1">IF(GF28&lt;&gt;"",GG28*4+GH28*2+GS28+GT28,"")</f>
        <v/>
      </c>
      <c r="GV28" s="75" t="str">
        <f ca="1">IF(GF28&lt;&gt;"",RANK(GU28,GU26:GU29),"")</f>
        <v/>
      </c>
      <c r="GW28" s="75">
        <f ca="1">SUMPRODUCT((GU26:GU29=GU28)*(GL26:GL29&gt;GL28))</f>
        <v>0</v>
      </c>
      <c r="GX28" s="75">
        <f ca="1">SUMPRODUCT((GU26:GU29=GU28)*(GL26:GL29=GL28)*(GO26:GO29&gt;GO28))</f>
        <v>0</v>
      </c>
      <c r="GY28" s="75">
        <f ca="1">SUMPRODUCT((GU25:GU29=GU28)*(GL25:GL29=GL28)*(GO25:GO29=GO28)*(GP25:GP29&gt;GP28))</f>
        <v>0</v>
      </c>
      <c r="GZ28" s="75">
        <f ca="1">SUMPRODUCT((GU25:GU29=GU28)*(GL25:GL29=GL28)*(GO25:GO29=GO28)*(GP25:GP29=GP28)*(GQ25:GQ29&gt;GQ28))</f>
        <v>0</v>
      </c>
      <c r="HA28" s="75">
        <f ca="1">SUMPRODUCT((GU25:GU29=GU28)*(GL25:GL29=GL28)*(GO25:GO29=GO28)*(GP25:GP29=GP28)*(GQ25:GQ29=GQ28)*(GR25:GR29&gt;GR28))</f>
        <v>0</v>
      </c>
      <c r="HB28" s="75" t="str">
        <f t="shared" ca="1" si="175"/>
        <v/>
      </c>
      <c r="HC28" s="75" t="str">
        <f ca="1">IF(GF28&lt;&gt;"",INDEX(GF26:GF29,MATCH(4,HB26:HB29,0),0),"")</f>
        <v/>
      </c>
      <c r="HD28" s="75" t="str">
        <f ca="1">IF(FE26&lt;&gt;"",FE26,"")</f>
        <v/>
      </c>
      <c r="HE28" s="75">
        <f ca="1">SUMPRODUCT((JC3:JC42=HD28)*(JF3:JF42=HD29)*(JM3:JM42="W"))+SUMPRODUCT((JC3:JC42=HD28)*(JF3:JF42=HD30)*(JM3:JM42="W"))+SUMPRODUCT((JC3:JC42=HD28)*(JF3:JF42=HD27)*(JM3:JM42="W"))+SUMPRODUCT((JC3:JC42=HD29)*(JF3:JF42=HD28)*(JN3:JN42="W"))+SUMPRODUCT((JC3:JC42=HD30)*(JF3:JF42=HD28)*(JN3:JN42="W"))+SUMPRODUCT((JC3:JC42=HD27)*(JF3:JF42=HD28)*(JN3:JN42="W"))</f>
        <v>0</v>
      </c>
      <c r="HF28" s="75">
        <f ca="1">SUMPRODUCT((JC3:JC42=HD28)*(JF3:JF42=HD29)*(JM3:JM42="D"))+SUMPRODUCT((JC3:JC42=HD28)*(JF3:JF42=HD30)*(JM3:JM42="D"))+SUMPRODUCT((JC3:JC42=HD28)*(JF3:JF42=HD27)*(JM3:JM42="D"))+SUMPRODUCT((JC3:JC42=HD29)*(JF3:JF42=HD28)*(JM3:JM42="D"))+SUMPRODUCT((JC3:JC42=HD30)*(JF3:JF42=HD28)*(JM3:JM42="D"))+SUMPRODUCT((JC3:JC42=HD27)*(JF3:JF42=HD28)*(JM3:JM42="D"))</f>
        <v>0</v>
      </c>
      <c r="HG28" s="75">
        <f ca="1">SUMPRODUCT((JC3:JC42=HD28)*(JF3:JF42=HD29)*(JM3:JM42="L"))+SUMPRODUCT((JC3:JC42=HD28)*(JF3:JF42=HD30)*(JM3:JM42="L"))+SUMPRODUCT((JC3:JC42=HD28)*(JF3:JF42=HD27)*(JM3:JM42="L"))+SUMPRODUCT((JC3:JC42=HD29)*(JF3:JF42=HD28)*(JN3:JN42="L"))+SUMPRODUCT((JC3:JC42=HD30)*(JF3:JF42=HD28)*(JN3:JN42="L"))+SUMPRODUCT((JC3:JC42=HD27)*(JF3:JF42=HD28)*(JN3:JN42="L"))</f>
        <v>0</v>
      </c>
      <c r="HH28" s="75">
        <f ca="1">IF(HD28&lt;&gt;"",VLOOKUP(HD28,EI4:EM29,5,FALSE),0)</f>
        <v>0</v>
      </c>
      <c r="HI28" s="75">
        <f ca="1">IF(HD28&lt;&gt;"",VLOOKUP(HD28,EI4:EN29,6,FALSE),0)</f>
        <v>0</v>
      </c>
      <c r="HJ28" s="75">
        <f ca="1">HH28-HI28+1000</f>
        <v>1000</v>
      </c>
      <c r="HK28" s="75">
        <f ca="1">IF(HD28&lt;&gt;"",VLOOKUP(HD28,EI4:EP29,8,FALSE),0)</f>
        <v>0</v>
      </c>
      <c r="HL28" s="75">
        <f ca="1">IF(HD28&lt;&gt;"",VLOOKUP(HD28,EI4:EQ29,9,FALSE),0)</f>
        <v>0</v>
      </c>
      <c r="HM28" s="75">
        <f t="shared" ref="HM28" ca="1" si="183">HK28-HL28+1000</f>
        <v>1000</v>
      </c>
      <c r="HN28" s="75" t="str">
        <f ca="1">IF(HD28&lt;&gt;"",VLOOKUP(HD28,EI25:EM29,5,FALSE),"")</f>
        <v/>
      </c>
      <c r="HO28" s="75" t="str">
        <f ca="1">IF(HD28&lt;&gt;"",VLOOKUP(HD28,EI25:EP29,8,FALSE),"")</f>
        <v/>
      </c>
      <c r="HP28" s="75" t="str">
        <f ca="1">IF(HD28&lt;&gt;"",VLOOKUP(HD28,EI25:EW29,15,FALSE),"")</f>
        <v/>
      </c>
      <c r="HQ28" s="75">
        <f ca="1">SUMPRODUCT((JC3:JC42=HD28)*(JF3:JF42=HD29)*JI3:JI42)+SUMPRODUCT((JC3:JC42=HD28)*(JF3:JF42=HD30)*JI3:JI42)+SUMPRODUCT((JC3:JC42=HD28)*(JF3:JF42=HD27)*JI3:JI42)+SUMPRODUCT((JC3:JC42=HD29)*(JF3:JF42=HD28)*JJ3:JJ42)+SUMPRODUCT((JC3:JC42=HD30)*(JF3:JF42=HD28)*JJ3:JJ42)+SUMPRODUCT((JC3:JC42=HD27)*(JF3:JF42=HD28)*JJ3:JJ42)</f>
        <v>0</v>
      </c>
      <c r="HR28" s="75">
        <f ca="1">SUMPRODUCT((JC3:JC42=HD28)*(JF3:JF42=HD29)*JK3:JK42)+SUMPRODUCT((JC3:JC42=HD28)*(JF3:JF42=HD30)*JK3:JK42)+SUMPRODUCT((JC3:JC42=HD28)*(JF3:JF42=HD27)*JK3:JK42)+SUMPRODUCT((JC3:JC42=HD29)*(JF3:JF42=HD28)*JL3:JL42)+SUMPRODUCT((JC3:JC42=HD30)*(JF3:JF42=HD28)*JL3:JL42)+SUMPRODUCT((JC3:JC42=HD27)*(JF3:JF42=HD28)*JL3:JL42)</f>
        <v>0</v>
      </c>
      <c r="HS28" s="75">
        <f t="shared" ref="HS28" ca="1" si="184">HE28*4+HF28*2+HQ28+HR28</f>
        <v>0</v>
      </c>
      <c r="HT28" s="75" t="str">
        <f ca="1">IF(HD28&lt;&gt;"",RANK(HS28,HS27:HS30),"")</f>
        <v/>
      </c>
      <c r="HU28" s="75">
        <f ca="1">SUMPRODUCT((HS27:HS30=HS28)*(HJ27:HJ30&gt;HJ28))</f>
        <v>0</v>
      </c>
      <c r="HV28" s="75">
        <f ca="1">SUMPRODUCT((HS27:HS30=HS28)*(HJ27:HJ30=HJ28)*(HM27:HM30&gt;HM28))</f>
        <v>0</v>
      </c>
      <c r="HW28" s="75">
        <f ca="1">SUMPRODUCT((HS25:HS29=HS28)*(HJ25:HJ29=HJ28)*(HM25:HM29=HM28)*(HN25:HN29&gt;HN28))</f>
        <v>0</v>
      </c>
      <c r="HX28" s="75">
        <f ca="1">SUMPRODUCT((HS25:HS29=HS28)*(HJ25:HJ29=HJ28)*(HM25:HM29=HM28)*(HN25:HN29=HN28)*(HO25:HO29&gt;HO28))</f>
        <v>0</v>
      </c>
      <c r="HY28" s="75">
        <f ca="1">SUMPRODUCT((HS25:HS29=HS28)*(HJ25:HJ29=HJ28)*(HM25:HM29=HM28)*(HN25:HN29=HN28)*(HO25:HO29=HO28)*(HP25:HP29&gt;HP28))</f>
        <v>0</v>
      </c>
      <c r="HZ28" s="75" t="str">
        <f t="shared" ca="1" si="179"/>
        <v/>
      </c>
      <c r="IA28" s="75" t="str">
        <f ca="1">IF(HD28&lt;&gt;"",INDEX(HD27:HD29,MATCH(4,HZ27:HZ29,0),0),"")</f>
        <v/>
      </c>
      <c r="IB28" s="75" t="str">
        <f ca="1">IF(FF25&lt;&gt;"",FF25,"")</f>
        <v/>
      </c>
      <c r="IC28" s="75">
        <f ca="1">SUMPRODUCT((JC3:JC42=IB28)*(JF3:JF42=IB29)*(JM3:JM42="W"))+SUMPRODUCT((JC3:JC42=IB28)*(JF3:JF42=IB30)*(JM3:JM42="W"))+SUMPRODUCT((JC3:JC42=IB28)*(JF3:JF42=IB31)*(JM3:JM42="W"))+SUMPRODUCT((JC3:JC42=IB29)*(JF3:JF42=IB28)*(JN3:JN42="W"))+SUMPRODUCT((JC3:JC42=IB30)*(JF3:JF42=IB28)*(JN3:JN42="W"))+SUMPRODUCT((JC3:JC42=IB31)*(JF3:JF42=IB28)*(JN3:JN42="W"))</f>
        <v>0</v>
      </c>
      <c r="ID28" s="75">
        <f ca="1">SUMPRODUCT((JC3:JC42=IB28)*(JF3:JF42=IB29)*(JM3:JM42="D"))+SUMPRODUCT((JC3:JC42=IB28)*(JF3:JF42=IB30)*(JM3:JM42="D"))+SUMPRODUCT((JC3:JC42=IB28)*(JF3:JF42=IB31)*(JM3:JM42="D"))+SUMPRODUCT((JC3:JC42=IB29)*(JF3:JF42=IB28)*(JM3:JM42="D"))+SUMPRODUCT((JC3:JC42=IB30)*(JF3:JF42=IB28)*(JM3:JM42="D"))+SUMPRODUCT((JC3:JC42=IB31)*(JF3:JF42=IB28)*(JM3:JM42="D"))</f>
        <v>0</v>
      </c>
      <c r="IE28" s="75">
        <f ca="1">SUMPRODUCT((JC3:JC42=IB28)*(JF3:JF42=IB29)*(JM3:JM42="L"))+SUMPRODUCT((JC3:JC42=IB28)*(JF3:JF42=IB30)*(JM3:JM42="L"))+SUMPRODUCT((JC3:JC42=IB28)*(JF3:JF42=IB31)*(JM3:JM42="L"))+SUMPRODUCT((JC3:JC42=IB29)*(JF3:JF42=IB28)*(JN3:JN42="L"))+SUMPRODUCT((JC3:JC42=IB30)*(JF3:JF42=IB28)*(JN3:JN42="L"))+SUMPRODUCT((JC3:JC42=IB31)*(JF3:JF42=IB28)*(JN3:JN42="L"))</f>
        <v>0</v>
      </c>
      <c r="IF28" s="75">
        <f ca="1">IF(IB28&lt;&gt;"",VLOOKUP(IB28,EI4:EM29,5,FALSE),0)</f>
        <v>0</v>
      </c>
      <c r="IG28" s="75">
        <f ca="1">IF(IB28&lt;&gt;"",VLOOKUP(IB28,EI4:EN29,6,FALSE),0)</f>
        <v>0</v>
      </c>
      <c r="IH28" s="75">
        <f ca="1">IF28-IG28+1000</f>
        <v>1000</v>
      </c>
      <c r="II28" s="75">
        <f ca="1">IF(IB28&lt;&gt;"",VLOOKUP(IB28,EI4:EP29,8,FALSE),0)</f>
        <v>0</v>
      </c>
      <c r="IJ28" s="75">
        <f ca="1">IF(IB28&lt;&gt;"",VLOOKUP(IB28,EI4:EQ29,9,FALSE),0)</f>
        <v>0</v>
      </c>
      <c r="IK28" s="75">
        <f ca="1">II28-IJ28+1000</f>
        <v>1000</v>
      </c>
      <c r="IL28" s="75" t="str">
        <f ca="1">IF(IB28&lt;&gt;"",VLOOKUP(IB28,EI25:EM29,5,FALSE),"")</f>
        <v/>
      </c>
      <c r="IM28" s="75" t="str">
        <f ca="1">IF(IB28&lt;&gt;"",VLOOKUP(IB28,EI25:EP29,8,FALSE),"")</f>
        <v/>
      </c>
      <c r="IN28" s="75" t="str">
        <f ca="1">IF(IB28&lt;&gt;"",VLOOKUP(IB28,EI25:EW29,15,FALSE),"")</f>
        <v/>
      </c>
      <c r="IO28" s="75">
        <f ca="1">SUMPRODUCT((JC3:JC42=IB28)*(JF3:JF42=IB29)*JI3:JI42)+SUMPRODUCT((JC3:JC42=IB28)*(JF3:JF42=IB30)*JI3:JI42)+SUMPRODUCT((JC3:JC42=IB28)*(JF3:JF42=IB31)*JI3:JI42)+SUMPRODUCT((JC3:JC42=IB29)*(JF3:JF42=IB28)*JJ3:JJ42)+SUMPRODUCT((JC3:JC42=IB30)*(JF3:JF42=IB28)*JJ3:JJ42)+SUMPRODUCT((JC3:JC42=IB31)*(JF3:JF42=IB28)*JJ3:JJ42)</f>
        <v>0</v>
      </c>
      <c r="IP28" s="75">
        <f ca="1">SUMPRODUCT((JC3:JC42=IB28)*(JF3:JF42=IB29)*JK3:JK42)+SUMPRODUCT((JC3:JC42=IB28)*(JF3:JF42=IB30)*JK3:JK42)+SUMPRODUCT((JC3:JC42=IB28)*(JF3:JF42=IB31)*JK3:JK42)+SUMPRODUCT((JC3:JC42=IB29)*(JF3:JF42=IB28)*JL3:JL42)+SUMPRODUCT((JC3:JC42=IB30)*(JF3:JF42=IB28)*JL3:JL42)+SUMPRODUCT((JC3:JC42=IB31)*(JF3:JF42=IB28)*JL3:JL42)</f>
        <v>0</v>
      </c>
      <c r="IQ28" s="75">
        <f ca="1">IC28*4+ID28*2+IO28+IP28</f>
        <v>0</v>
      </c>
      <c r="IR28" s="75" t="str">
        <f ca="1">IF(IB28&lt;&gt;"",RANK(IQ28,IQ28:IQ31),"")</f>
        <v/>
      </c>
      <c r="IS28" s="75">
        <f ca="1">SUMPRODUCT((IQ28:IQ31=IQ28)*(IH28:IH31&gt;IH28))</f>
        <v>0</v>
      </c>
      <c r="IT28" s="75">
        <f ca="1">SUMPRODUCT((IQ28:IQ31=IQ28)*(IH28:IH31=IH28)*(IK28:IK31&gt;IK28))</f>
        <v>0</v>
      </c>
      <c r="IU28" s="75">
        <f ca="1">SUMPRODUCT((IQ25:IQ29=IQ28)*(IH25:IH29=IH28)*(IK25:IK29=IK28)*(IL25:IL29&gt;IL28))</f>
        <v>0</v>
      </c>
      <c r="IV28" s="75">
        <f ca="1">SUMPRODUCT((IQ25:IQ29=IQ28)*(IH25:IH29=IH28)*(IK25:IK29=IK28)*(IL25:IL29=IL28)*(IM25:IM29&gt;IM28))</f>
        <v>0</v>
      </c>
      <c r="IW28" s="75">
        <f ca="1">SUMPRODUCT((IQ25:IQ29=IQ28)*(IH25:IH29=IH28)*(IK25:IK29=IK28)*(IL25:IL29=IL28)*(IM25:IM29=IM28)*(IN25:IN29&gt;IN28))</f>
        <v>0</v>
      </c>
      <c r="IX28" s="75" t="str">
        <f t="shared" ref="IX28:IX29" ca="1" si="185">IF(IB28&lt;&gt;"",SUM(IR28:IW28)+3,"")</f>
        <v/>
      </c>
      <c r="IY28" s="75" t="str">
        <f ca="1">IF(IB28&lt;&gt;"",IF(IX28=4,IB28,IB29),"")</f>
        <v/>
      </c>
      <c r="IZ28" s="75" t="str">
        <f ca="1">IF(IY28&lt;&gt;"",IY28,IF(IA28&lt;&gt;"",IA28,IF(HC28&lt;&gt;"",HC28,IF(GE28&lt;&gt;"",GE28,FA28))))</f>
        <v>France</v>
      </c>
      <c r="JA28" s="75">
        <v>4</v>
      </c>
      <c r="JB28" s="75">
        <v>26</v>
      </c>
      <c r="JC28" s="75" t="str">
        <f t="shared" si="4"/>
        <v>England</v>
      </c>
      <c r="JD28" s="75" t="str">
        <f ca="1">IF(OFFSET('Prediction Sheet'!$W38,0,JD$1)&lt;&gt;"",OFFSET('Prediction Sheet'!$W38,0,JD$1),"")</f>
        <v/>
      </c>
      <c r="JE28" s="75" t="str">
        <f ca="1">IF(OFFSET('Prediction Sheet'!$Y38,0,JD$1)&lt;&gt;"",OFFSET('Prediction Sheet'!$Y38,0,JD$1),"")</f>
        <v/>
      </c>
      <c r="JF28" s="75" t="str">
        <f t="shared" si="5"/>
        <v>Australia</v>
      </c>
      <c r="JG28" s="75" t="str">
        <f ca="1">IF(OFFSET('Prediction Sheet'!$AA38,0,JF$1)&lt;&gt;"",OFFSET('Prediction Sheet'!$AA38,0,JF$1),"")</f>
        <v/>
      </c>
      <c r="JH28" s="75" t="str">
        <f ca="1">IF(OFFSET('Prediction Sheet'!$AC38,0,JG$1)&lt;&gt;"",OFFSET('Prediction Sheet'!$AC38,0,JG$1),"")</f>
        <v/>
      </c>
      <c r="JI28" s="75">
        <f t="shared" ca="1" si="6"/>
        <v>0</v>
      </c>
      <c r="JJ28" s="75">
        <f t="shared" ca="1" si="7"/>
        <v>0</v>
      </c>
      <c r="JK28" s="75">
        <f t="shared" ca="1" si="8"/>
        <v>0</v>
      </c>
      <c r="JL28" s="75">
        <f t="shared" ca="1" si="9"/>
        <v>0</v>
      </c>
      <c r="JM28" s="75" t="str">
        <f t="shared" ca="1" si="10"/>
        <v/>
      </c>
      <c r="JN28" s="75" t="str">
        <f t="shared" ca="1" si="11"/>
        <v/>
      </c>
    </row>
    <row r="29" spans="1:274" x14ac:dyDescent="0.2">
      <c r="A29" s="75">
        <f>VLOOKUP(B29,DS25:DT29,2,FALSE)</f>
        <v>2</v>
      </c>
      <c r="B29" s="75" t="s">
        <v>47</v>
      </c>
      <c r="C29" s="75">
        <f t="shared" si="142"/>
        <v>0</v>
      </c>
      <c r="D29" s="75">
        <f t="shared" si="143"/>
        <v>0</v>
      </c>
      <c r="E29" s="75">
        <f t="shared" si="144"/>
        <v>0</v>
      </c>
      <c r="F29" s="75">
        <f>SUMIF($DV$3:$DV$60,B29,$DW$3:$DW$60)+SUMIF($DY$3:$DY$60,B29,$DX$3:$DX$60)</f>
        <v>0</v>
      </c>
      <c r="G29" s="75">
        <f>SUMIF($DY$3:$DY$60,B29,$DW$3:$DW$60)+SUMIF($DV$3:$DV$60,B29,$DX$3:$DX$60)</f>
        <v>0</v>
      </c>
      <c r="H29" s="75">
        <f t="shared" si="145"/>
        <v>1000</v>
      </c>
      <c r="I29" s="75">
        <f>SUMIF(Tournament!$H$13:$H$52,B29,Tournament!$O$13:$O$52)+SUMIF(Tournament!$N$13:$N$52,B29,Tournament!$Q$13:$Q$52)</f>
        <v>0</v>
      </c>
      <c r="J29" s="75">
        <f>SUMIF(Tournament!$N$13:$N$52,B29,Tournament!$O$13:$O$52)+SUMIF(Tournament!$H$13:$H$52,B29,Tournament!$Q$13:$Q$52)</f>
        <v>0</v>
      </c>
      <c r="K29" s="75">
        <f t="shared" si="146"/>
        <v>1000</v>
      </c>
      <c r="L29" s="75">
        <f t="shared" si="147"/>
        <v>0</v>
      </c>
      <c r="M29" s="75">
        <f>SUMIF(DV:DV,B29,EB:EB)+SUMIF(DY:DY,B29,EC:EC)</f>
        <v>4</v>
      </c>
      <c r="N29" s="75">
        <f>SUMIF(DV:DV,B29,ED:ED)+SUMIF(DY:DY,B29,EE:EE)</f>
        <v>0</v>
      </c>
      <c r="O29" s="75">
        <f t="shared" si="148"/>
        <v>4</v>
      </c>
      <c r="P29" s="75">
        <v>17</v>
      </c>
      <c r="Q29" s="75">
        <f t="shared" si="159"/>
        <v>1</v>
      </c>
      <c r="S29" s="75">
        <f>RANK(O29,$O$25:$O$29)+COUNTIF($O$25:O29,O29)-1</f>
        <v>5</v>
      </c>
      <c r="T29" s="75" t="str">
        <f>INDEX($B$25:$B$29,MATCH(5,$S$25:$S$29,0),0)</f>
        <v>Romania</v>
      </c>
      <c r="U29" s="75">
        <f t="shared" si="160"/>
        <v>1</v>
      </c>
      <c r="V29" s="75" t="str">
        <f>IF(AND(V28&lt;&gt;"",U29=1),T29,"")</f>
        <v>Romania</v>
      </c>
      <c r="AA29" s="75" t="str">
        <f t="shared" si="161"/>
        <v>Romania</v>
      </c>
      <c r="AB29" s="75">
        <f>SUMPRODUCT((DV3:DV42=AA29)*(DY3:DY42=AA25)*(EF3:EF42="W"))+SUMPRODUCT((DV3:DV42=AA29)*(DY3:DY42=AA26)*(EF3:EF42="W"))+SUMPRODUCT((DV3:DV42=AA29)*(DY3:DY42=AA27)*(EF3:EF42="W"))+SUMPRODUCT((DV3:DV42=AA29)*(DY3:DY42=AA28)*(EF3:EF42="W"))+SUMPRODUCT((DV3:DV42=AA25)*(DY3:DY42=AA29)*(EG3:EG42="W"))+SUMPRODUCT((DV3:DV42=AA26)*(DY3:DY42=AA29)*(EG3:EG42="W"))+SUMPRODUCT((DV3:DV42=AA27)*(DY3:DY42=AA29)*(EG3:EG42="W"))+SUMPRODUCT((DV3:DV42=AA28)*(DY3:DY42=AA29)*(EG3:EG42="W"))</f>
        <v>0</v>
      </c>
      <c r="AC29" s="75">
        <f>SUMPRODUCT((DV3:DV42=AA29)*(DY3:DY42=AA25)*(EF3:EF42="D"))+SUMPRODUCT((DV3:DV42=AA29)*(DY3:DY42=AA26)*(EF3:EF42="D"))+SUMPRODUCT((DV3:DV42=AA29)*(DY3:DY42=AA27)*(EF3:EF42="D"))+SUMPRODUCT((DV3:DV42=AA29)*(DY3:DY42=AA28)*(EF3:EF42="D"))+SUMPRODUCT((DV3:DV42=AA25)*(DY3:DY42=AA29)*(EF3:EF42="D"))+SUMPRODUCT((DV3:DV42=AA26)*(DY3:DY42=AA29)*(EF3:EF42="D"))+SUMPRODUCT((DV3:DV42=AA27)*(DY3:DY42=AA29)*(EF3:EF42="D"))+SUMPRODUCT((DV3:DV42=AA28)*(DY3:DY42=AA29)*(EF3:EF42="D"))</f>
        <v>0</v>
      </c>
      <c r="AD29" s="75">
        <f>SUMPRODUCT((DV3:DV42=AA29)*(DY3:DY42=AA25)*(EF3:EF42="L"))+SUMPRODUCT((DV3:DV42=AA29)*(DY3:DY42=AA26)*(EF3:EF42="L"))+SUMPRODUCT((DV3:DV42=AA29)*(DY3:DY42=AA27)*(EF3:EF42="L"))+SUMPRODUCT((DV3:DV42=AA29)*(DY3:DY42=AA28)*(EF3:EF42="L"))+SUMPRODUCT((DV3:DV42=AA25)*(DY3:DY42=AA29)*(EG3:EG42="L"))+SUMPRODUCT((DV3:DV42=AA26)*(DY3:DY42=AA29)*(EG3:EG42="L"))+SUMPRODUCT((DV3:DV42=AA27)*(DY3:DY42=AA29)*(EG3:EG42="L"))+SUMPRODUCT((DV3:DV42=AA28)*(DY3:DY42=AA29)*(EG3:EG42="L"))</f>
        <v>0</v>
      </c>
      <c r="AE29" s="75">
        <f>IF(AA29&lt;&gt;"",VLOOKUP(AA29,B4:F29,5,FALSE),0)</f>
        <v>0</v>
      </c>
      <c r="AF29" s="75">
        <f>IF(AA29&lt;&gt;"",VLOOKUP(AA29,B4:G29,6,FALSE),0)</f>
        <v>0</v>
      </c>
      <c r="AG29" s="75">
        <f>AE29-AF29+1000</f>
        <v>1000</v>
      </c>
      <c r="AH29" s="75">
        <f>IF(AA29&lt;&gt;"",VLOOKUP(AA29,B4:I29,8,FALSE),0)</f>
        <v>0</v>
      </c>
      <c r="AI29" s="75">
        <f>IF(AA29&lt;&gt;"",VLOOKUP(AA29,B4:J29,9,FALSE),0)</f>
        <v>0</v>
      </c>
      <c r="AJ29" s="75">
        <f>IF(AA29&lt;&gt;"",AH29-AI29+1000,"")</f>
        <v>1000</v>
      </c>
      <c r="AK29" s="75">
        <f>IF(AA29&lt;&gt;"",VLOOKUP(AA29,B25:F29,5,FALSE),"")</f>
        <v>0</v>
      </c>
      <c r="AL29" s="75">
        <f>IF(AA29&lt;&gt;"",VLOOKUP(AA29,B25:I29,8,FALSE),"")</f>
        <v>0</v>
      </c>
      <c r="AM29" s="75">
        <f>IF(AA29&lt;&gt;"",VLOOKUP(AA29,B25:P29,15,FALSE),"")</f>
        <v>17</v>
      </c>
      <c r="AN29" s="75">
        <f>SUMPRODUCT((DV3:DV42=AA29)*(DY3:DY42=AA25)*EB3:EB42)+SUMPRODUCT((DV3:DV42=AA29)*(DY3:DY42=AA26)*EB3:EB42)+SUMPRODUCT((DV3:DV42=AA29)*(DY3:DY42=AA27)*EB3:EB42)+SUMPRODUCT((DV3:DV42=AA29)*(DY3:DY42=AA28)*EB3:EB42)+SUMPRODUCT((DV3:DV42=AA25)*(DY3:DY42=AA29)*EC3:EC42)+SUMPRODUCT((DV3:DV42=AA26)*(DY3:DY42=AA29)*EC3:EC42)+SUMPRODUCT((DV3:DV42=AA27)*(DY3:DY42=AA29)*EC3:EC42)+SUMPRODUCT((DV3:DV42=AA28)*(DY3:DY42=AA29)*EC3:EC42)</f>
        <v>4</v>
      </c>
      <c r="AO29" s="75">
        <f>SUMPRODUCT((DV3:DV42=AA29)*(DY3:DY42=AA25)*ED3:ED42)+SUMPRODUCT((DV3:DV42=AA29)*(DY3:DY42=AA26)*ED3:ED42)+SUMPRODUCT((DV3:DV42=AA29)*(DY3:DY42=AA27)*ED3:ED42)+SUMPRODUCT((DV3:DV42=AA29)*(DY3:DY42=AA28)*ED3:ED42)+SUMPRODUCT((DV3:DV42=AA25)*(DY3:DY42=AA29)*EE3:EE42)+SUMPRODUCT((DV3:DV42=AA26)*(DY3:DY42=AA29)*EE3:EE42)+SUMPRODUCT((DV3:DV42=AA27)*(DY3:DY42=AA29)*EE3:EE42)+SUMPRODUCT((DV3:DV42=AA28)*(DY3:DY42=AA29)*EE3:EE42)</f>
        <v>0</v>
      </c>
      <c r="AP29" s="75">
        <f>IF(AA29&lt;&gt;"",AB29*4+AC29*2+AN29+AO29,"")</f>
        <v>4</v>
      </c>
      <c r="AQ29" s="75">
        <f>IF(AA29&lt;&gt;"",RANK(AP29,AP25:AP29),"")</f>
        <v>1</v>
      </c>
      <c r="AR29" s="75">
        <f>SUMPRODUCT((AP25:AP29=AP29)*(AG25:AG29&gt;AG29))</f>
        <v>0</v>
      </c>
      <c r="AS29" s="75">
        <f>SUMPRODUCT((AP25:AP29=AP29)*(AG25:AG29=AG29)*(AJ25:AJ29&gt;AJ29))</f>
        <v>0</v>
      </c>
      <c r="AT29" s="75">
        <f>SUMPRODUCT((AP25:AP29=AP29)*(AG25:AG29=AG29)*(AJ25:AJ29=AJ29)*(AK25:AK29&gt;AK29))</f>
        <v>0</v>
      </c>
      <c r="AU29" s="75">
        <f>SUMPRODUCT((AP25:AP29=AP29)*(AG25:AG29=AG29)*(AJ25:AJ29=AJ29)*(AK25:AK29=AK29)*(AL25:AL29&gt;AL29))</f>
        <v>0</v>
      </c>
      <c r="AV29" s="75">
        <f>SUMPRODUCT((AP25:AP29=AP29)*(AG25:AG29=AG29)*(AJ25:AJ29=AJ29)*(AK25:AK29=AK29)*(AL25:AL29=AL29)*(AM25:AM29&gt;AM29))</f>
        <v>1</v>
      </c>
      <c r="AW29" s="75">
        <f t="shared" si="164"/>
        <v>2</v>
      </c>
      <c r="AX29" s="75" t="str">
        <f>IF(AA29&lt;&gt;"",INDEX(AA25:AA29,MATCH(5,AW25:AW29,0),0),"")</f>
        <v>Ireland</v>
      </c>
      <c r="AY29" s="75" t="str">
        <f>IF(W28&lt;&gt;"",W28,"")</f>
        <v/>
      </c>
      <c r="AZ29" s="75" t="str">
        <f>IF(AY29&lt;&gt;"",SUMPRODUCT((DV3:DV42=AY29)*(DY3:DY42=AY26)*(EF3:EF42="W"))+SUMPRODUCT((DV3:DV42=AY29)*(DY3:DY42=AY27)*(EF3:EF42="W"))+SUMPRODUCT((DV3:DV42=AY29)*(DY3:DY42=AY28)*(EF3:EF42="W"))+SUMPRODUCT((DV3:DV42=AY26)*(DY3:DY42=AY29)*(EF3:EF42="W"))+SUMPRODUCT((DV3:DV42=AY27)*(DY3:DY42=AY29)*(EF3:EF42="W"))+SUMPRODUCT((DV3:DV42=AY28)*(DY3:DY42=AY29)*(EF3:EF42="W")),"")</f>
        <v/>
      </c>
      <c r="BA29" s="75" t="str">
        <f>IF(AY29&lt;&gt;"",SUMPRODUCT((DV3:DV42=AY29)*(DY3:DY42=AY26)*(EF3:EF42="D"))+SUMPRODUCT((DV3:DV42=AY29)*(DY3:DY42=AY27)*(EF3:EF42="D"))+SUMPRODUCT((DV3:DV42=AY29)*(DY3:DY42=AY28)*(EF3:EF42="D"))+SUMPRODUCT((DV3:DV42=AY26)*(DY3:DY42=AY29)*(EF3:EF42="D"))+SUMPRODUCT((DV3:DV42=AY27)*(DY3:DY42=AY29)*(EF3:EF42="D"))+SUMPRODUCT((DV3:DV42=AY28)*(DY3:DY42=AY29)*(EF3:EF42="D")),"")</f>
        <v/>
      </c>
      <c r="BB29" s="75" t="str">
        <f>IF(AY29&lt;&gt;"",SUMPRODUCT((DV3:DV42=AY29)*(DY3:DY42=AY26)*(EF3:EF42="L"))+SUMPRODUCT((DV3:DV42=AY29)*(DY3:DY42=AY27)*(EF3:EF42="L"))+SUMPRODUCT((DV3:DV42=AY29)*(DY3:DY42=AY28)*(EF3:EF42="L"))+SUMPRODUCT((DV3:DV42=AY26)*(DY3:DY42=AY29)*(EF3:EF42="L"))+SUMPRODUCT((DV3:DV42=AY27)*(DY3:DY42=AY29)*(EF3:EF42="L"))+SUMPRODUCT((DV3:DV42=AY28)*(DY3:DY42=AY29)*(EF3:EF42="L")),"")</f>
        <v/>
      </c>
      <c r="BC29" s="75">
        <f>IF(AY29&lt;&gt;"",VLOOKUP(AY29,B4:F29,5,FALSE),0)</f>
        <v>0</v>
      </c>
      <c r="BD29" s="75">
        <f>IF(AY29&lt;&gt;"",VLOOKUP(AY29,B4:G29,6,FALSE),0)</f>
        <v>0</v>
      </c>
      <c r="BE29" s="75">
        <f>BC29-BD29+1000</f>
        <v>1000</v>
      </c>
      <c r="BF29" s="75">
        <f>IF(AY29&lt;&gt;"",VLOOKUP(AY29,B4:I29,8,FALSE),0)</f>
        <v>0</v>
      </c>
      <c r="BG29" s="75">
        <f>IF(AY29&lt;&gt;"",VLOOKUP(AY29,B4:J29,9,FALSE),0)</f>
        <v>0</v>
      </c>
      <c r="BH29" s="75" t="str">
        <f>IF(AY29&lt;&gt;"",BF29-BG29+1000,"")</f>
        <v/>
      </c>
      <c r="BI29" s="75" t="str">
        <f>IF(AY29&lt;&gt;"",VLOOKUP(AY29,B25:F29,5,FALSE),"")</f>
        <v/>
      </c>
      <c r="BJ29" s="75" t="str">
        <f>IF(AY29&lt;&gt;"",VLOOKUP(AY29,B25:I29,8,FALSE),"")</f>
        <v/>
      </c>
      <c r="BK29" s="75" t="str">
        <f>IF(AY29&lt;&gt;"",VLOOKUP(AY29,B25:P29,15,FALSE),"")</f>
        <v/>
      </c>
      <c r="BL29" s="75" t="str">
        <f>IF(AY29&lt;&gt;"",SUMPRODUCT((DV3:DV42=AY29)*(DY3:DY42=AY26)*EB3:EB42)+SUMPRODUCT((DV3:DV42=AY29)*(DY3:DY42=AY27)*EB3:EB42)+SUMPRODUCT((DV3:DV42=AY29)*(DY3:DY42=AY28)*EB3:EB42)+SUMPRODUCT((DV3:DV42=AY26)*(DY3:DY42=AY29)*EC3:EC42)+SUMPRODUCT((DV3:DV42=AY27)*(DY3:DY42=AY29)*EC3:EC42)+SUMPRODUCT((DV3:DV42=AY28)*(DY3:DY42=AY29)*EC3:EC42),"")</f>
        <v/>
      </c>
      <c r="BM29" s="75" t="str">
        <f>IF(AY29&lt;&gt;"",SUMPRODUCT((DV3:DV42=AY29)*(DY3:DY42=AY26)*ED3:ED42)+SUMPRODUCT((DV3:DV42=AY29)*(DY3:DY42=AY27)*ED3:ED42)+SUMPRODUCT((DV3:DV42=AY29)*(DY3:DY42=AY28)*ED3:ED42)+SUMPRODUCT((DV3:DV42=AY26)*(DY3:DY42=AY29)*EE3:EE42)+SUMPRODUCT((DV3:DV42=AY27)*(DY3:DY42=AY29)*EE3:EE42)+SUMPRODUCT((DV3:DV42=AY28)*(DY3:DY42=AY29)*EE3:EE42),"")</f>
        <v/>
      </c>
      <c r="BN29" s="75" t="str">
        <f>IF(AY29&lt;&gt;"",AZ29*4+BA29*2+BL29+BM29,"")</f>
        <v/>
      </c>
      <c r="BO29" s="75" t="str">
        <f>IF(AY29&lt;&gt;"",RANK(BN29,BN26:BN29),"")</f>
        <v/>
      </c>
      <c r="BP29" s="75">
        <f>SUMPRODUCT((BN26:BN29=BN29)*(BE26:BE29&gt;BE29))</f>
        <v>0</v>
      </c>
      <c r="BQ29" s="75">
        <f>SUMPRODUCT((BN26:BN29=BN29)*(BE26:BE29=BE29)*(BH26:BH29&gt;BH29))</f>
        <v>0</v>
      </c>
      <c r="BR29" s="75">
        <f>SUMPRODUCT((BN25:BN29=BN29)*(BE25:BE29=BE29)*(BH25:BH29=BH29)*(BI25:BI29&gt;BI29))</f>
        <v>0</v>
      </c>
      <c r="BS29" s="75">
        <f>SUMPRODUCT((BN25:BN29=BN29)*(BE25:BE29=BE29)*(BH25:BH29=BH29)*(BI25:BI29=BI29)*(BJ25:BJ29&gt;BJ29))</f>
        <v>0</v>
      </c>
      <c r="BT29" s="75">
        <f>SUMPRODUCT((BN25:BN29=BN29)*(BE25:BE29=BE29)*(BH25:BH29=BH29)*(BI25:BI29=BI29)*(BJ25:BJ29=BJ29)*(BK25:BK29&gt;BK29))</f>
        <v>0</v>
      </c>
      <c r="BU29" s="75" t="str">
        <f t="shared" si="165"/>
        <v/>
      </c>
      <c r="BV29" s="75" t="str">
        <f>IF(AY29&lt;&gt;"",INDEX(AY26:AY29,MATCH(5,BU26:BU29,0),0),"")</f>
        <v/>
      </c>
      <c r="BW29" s="75" t="str">
        <f>IF(X27&lt;&gt;"",X27,"")</f>
        <v/>
      </c>
      <c r="BX29" s="75" t="str">
        <f>IF(BW29&lt;&gt;"",SUMPRODUCT((DV3:DV42=BW29)*(DY3:DY42=BW30)*(EF3:EF42="W"))+SUMPRODUCT((DV3:DV42=BW29)*(DY3:DY42=BW27)*(EF3:EF42="W"))+SUMPRODUCT((DV3:DV42=BW29)*(DY3:DY42=BW28)*(EF3:EF42="W"))+SUMPRODUCT((DV3:DV42=BW30)*(DY3:DY42=BW29)*(EG3:EG42="W"))+SUMPRODUCT((DV3:DV42=BW27)*(DY3:DY42=BW29)*(EG3:EG42="W"))+SUMPRODUCT((DV3:DV42=BW28)*(DY3:DY42=BW29)*(EG3:EG42="W")),"")</f>
        <v/>
      </c>
      <c r="BY29" s="75" t="str">
        <f>IF(BW29&lt;&gt;"",SUMPRODUCT((DV3:DV42=BW29)*(DY3:DY42=BW30)*(EF3:EF42="D"))+SUMPRODUCT((DV3:DV42=BW29)*(DY3:DY42=BW27)*(EF3:EF42="D"))+SUMPRODUCT((DV3:DV42=BW29)*(DY3:DY42=BW28)*(EF3:EF42="D"))+SUMPRODUCT((DV3:DV42=BW30)*(DY3:DY42=BW29)*(EF3:EF42="D"))+SUMPRODUCT((DV3:DV42=BW27)*(DY3:DY42=BW29)*(EF3:EF42="D"))+SUMPRODUCT((DV3:DV42=BW28)*(DY3:DY42=BW29)*(EF3:EF42="D")),"")</f>
        <v/>
      </c>
      <c r="BZ29" s="75" t="str">
        <f>IF(BW29&lt;&gt;"",SUMPRODUCT((DV3:DV42=BW29)*(DY3:DY42=BW30)*(EF3:EF42="L"))+SUMPRODUCT((DV3:DV42=BW29)*(DY3:DY42=BW27)*(EF3:EF42="L"))+SUMPRODUCT((DV3:DV42=BW29)*(DY3:DY42=BW28)*(EF3:EF42="L"))+SUMPRODUCT((DV3:DV42=BW30)*(DY3:DY42=BW29)*(EG3:EG42="L"))+SUMPRODUCT((DV3:DV42=BW27)*(DY3:DY42=BW29)*(EG3:EG42="L"))+SUMPRODUCT((DV3:DV42=BW28)*(DY3:DY42=BW29)*(EG3:EG42="L")),"")</f>
        <v/>
      </c>
      <c r="CA29" s="75">
        <f>IF(BW29&lt;&gt;"",VLOOKUP(BW29,B4:F29,5,FALSE),0)</f>
        <v>0</v>
      </c>
      <c r="CB29" s="75">
        <f>IF(BW29&lt;&gt;"",VLOOKUP(BW29,B4:G29,6,FALSE),0)</f>
        <v>0</v>
      </c>
      <c r="CC29" s="75">
        <f>CA29-CB29+1000</f>
        <v>1000</v>
      </c>
      <c r="CD29" s="75">
        <f>IF(BW29&lt;&gt;"",VLOOKUP(BW29,B4:I29,8,FALSE),0)</f>
        <v>0</v>
      </c>
      <c r="CE29" s="75">
        <f>IF(BW29&lt;&gt;"",VLOOKUP(BW29,B4:J29,9,FALSE),0)</f>
        <v>0</v>
      </c>
      <c r="CF29" s="75" t="str">
        <f>IF(BW29&lt;&gt;"",CD29-CE29+1000,"")</f>
        <v/>
      </c>
      <c r="CG29" s="75" t="str">
        <f>IF(BW29&lt;&gt;"",VLOOKUP(BW29,B25:F29,5,FALSE),"")</f>
        <v/>
      </c>
      <c r="CH29" s="75" t="str">
        <f>IF(BW29&lt;&gt;"",VLOOKUP(BW29,B25:I29,8,FALSE),"")</f>
        <v/>
      </c>
      <c r="CI29" s="75" t="str">
        <f>IF(BW29&lt;&gt;"",VLOOKUP(BW29,B25:P29,15,FALSE),"")</f>
        <v/>
      </c>
      <c r="CJ29" s="75" t="str">
        <f>IF(BW29&lt;&gt;"",SUMPRODUCT((DV3:DV42=BW29)*(DY3:DY42=BW30)*EB3:EB42)+SUMPRODUCT((DV3:DV42=BW29)*(DY3:DY42=BW27)*EB3:EB42)+SUMPRODUCT((DV3:DV42=BW29)*(DY3:DY42=BW28)*EB3:EB42)+SUMPRODUCT((DV3:DV42=BW30)*(DY3:DY42=BW29)*EC3:EC42)+SUMPRODUCT((DV3:DV42=BW27)*(DY3:DY42=BW29)*EC3:EC42)+SUMPRODUCT((DV3:DV42=BW28)*(DY3:DY42=BW29)*EC3:EC42),"")</f>
        <v/>
      </c>
      <c r="CK29" s="75" t="str">
        <f>IF(BW29&lt;&gt;"",SUMPRODUCT((DV3:DV42=BW29)*(DY3:DY42=BW30)*ED3:ED42)+SUMPRODUCT((DV3:DV42=BW29)*(DY3:DY42=BW27)*ED3:ED42)+SUMPRODUCT((DV3:DV42=BW29)*(DY3:DY42=BW28)*ED3:ED42)+SUMPRODUCT((DV3:DV42=BW30)*(DY3:DY42=BW29)*EE3:EE42)+SUMPRODUCT((DV3:DV42=BW27)*(DY3:DY42=BW29)*EE3:EE42)+SUMPRODUCT((DV3:DV42=BW28)*(DY3:DY42=BW29)*EE3:EE42),"")</f>
        <v/>
      </c>
      <c r="CL29" s="75" t="str">
        <f>IF(BW29&lt;&gt;"",BX29*4+BY29*2+CJ29+CK29,"")</f>
        <v/>
      </c>
      <c r="CM29" s="75" t="str">
        <f>IF(BW29&lt;&gt;"",RANK(CL29,CL27:CL30),"")</f>
        <v/>
      </c>
      <c r="CN29" s="75">
        <f>SUMPRODUCT((CL27:CL30=CL29)*(CC27:CC30&gt;CC29))</f>
        <v>0</v>
      </c>
      <c r="CO29" s="75">
        <f>SUMPRODUCT((CL27:CL30=CL29)*(CC27:CC30=CC29)*(CF27:CF30&gt;CF29))</f>
        <v>0</v>
      </c>
      <c r="CP29" s="75">
        <f>SUMPRODUCT((CL25:CL29=CL29)*(CC25:CC29=CC29)*(CF25:CF29=CF29)*(CG25:CG29&gt;CG29))</f>
        <v>0</v>
      </c>
      <c r="CQ29" s="75">
        <f>SUMPRODUCT((CL25:CL29=CL29)*(CC25:CC29=CC29)*(CF25:CF29=CF29)*(CG25:CG29=CG29)*(CH25:CH29&gt;CH29))</f>
        <v>0</v>
      </c>
      <c r="CR29" s="75">
        <f>SUMPRODUCT((CL25:CL29=CL29)*(CC25:CC29=CC29)*(CF25:CF29=CF29)*(CG25:CG29=CG29)*(CH25:CH29=CH29)*(CI25:CI29&gt;CI29))</f>
        <v>0</v>
      </c>
      <c r="CS29" s="75" t="str">
        <f t="shared" si="177"/>
        <v/>
      </c>
      <c r="CT29" s="75" t="str">
        <f>IF(BW29&lt;&gt;"",INDEX(BW27:BW29,MATCH(5,CS27:CS29,0),0),"")</f>
        <v/>
      </c>
      <c r="CU29" s="75" t="str">
        <f>IF(Y26&lt;&gt;"",Y26,"")</f>
        <v/>
      </c>
      <c r="CV29" s="75">
        <f>SUMPRODUCT((DV3:DV42=CU29)*(DY3:DY42=CU30)*(EF3:EF42="W"))+SUMPRODUCT((DV3:DV42=CU29)*(DY3:DY42=CU31)*(EF3:EF42="W"))+SUMPRODUCT((DV3:DV42=CU29)*(DY3:DY42=CU28)*(EF3:EF42="W"))+SUMPRODUCT((DV3:DV42=CU30)*(DY3:DY42=CU29)*(EG3:EG42="W"))+SUMPRODUCT((DV3:DV42=CU31)*(DY3:DY42=CU29)*(EG3:EG42="W"))+SUMPRODUCT((DV3:DV42=CU28)*(DY3:DY42=CU29)*(EG3:EG42="W"))</f>
        <v>0</v>
      </c>
      <c r="CW29" s="75">
        <f>SUMPRODUCT((DV3:DV42=CU29)*(DY3:DY42=CU30)*(EF3:EF42="D"))+SUMPRODUCT((DV3:DV42=CU29)*(DY3:DY42=CU31)*(EF3:EF42="D"))+SUMPRODUCT((DV3:DV42=CU29)*(DY3:DY42=CU28)*(EF3:EF42="D"))+SUMPRODUCT((DV3:DV42=CU30)*(DY3:DY42=CU29)*(EF3:EF42="D"))+SUMPRODUCT((DV3:DV42=CU31)*(DY3:DY42=CU29)*(EF3:EF42="D"))+SUMPRODUCT((DV3:DV42=CU28)*(DY3:DY42=CU29)*(EF3:EF42="D"))</f>
        <v>0</v>
      </c>
      <c r="CX29" s="75">
        <f>SUMPRODUCT((DV3:DV42=CU29)*(DY3:DY42=CU30)*(EF3:EF42="L"))+SUMPRODUCT((DV3:DV42=CU29)*(DY3:DY42=CU31)*(EF3:EF42="L"))+SUMPRODUCT((DV3:DV42=CU29)*(DY3:DY42=CU28)*(EF3:EF42="L"))+SUMPRODUCT((DV3:DV42=CU30)*(DY3:DY42=CU29)*(EG3:EG42="L"))+SUMPRODUCT((DV3:DV42=CU31)*(DY3:DY42=CU29)*(EG3:EG42="L"))+SUMPRODUCT((DV3:DV42=CU28)*(DY3:DY42=CU29)*(EG3:EG42="L"))</f>
        <v>0</v>
      </c>
      <c r="CY29" s="75">
        <f>IF(CU29&lt;&gt;"",VLOOKUP(CU29,B4:F29,5,FALSE),0)</f>
        <v>0</v>
      </c>
      <c r="CZ29" s="75">
        <f>IF(CU29&lt;&gt;"",VLOOKUP(CU29,B4:G29,6,FALSE),0)</f>
        <v>0</v>
      </c>
      <c r="DA29" s="75">
        <f>CY29-CZ29+1000</f>
        <v>1000</v>
      </c>
      <c r="DB29" s="75">
        <f>IF(CU29&lt;&gt;"",VLOOKUP(CU29,B4:I29,8,FALSE),0)</f>
        <v>0</v>
      </c>
      <c r="DC29" s="75">
        <f>IF(CU29&lt;&gt;"",VLOOKUP(CU29,B4:J29,9,FALSE),0)</f>
        <v>0</v>
      </c>
      <c r="DD29" s="75">
        <f t="shared" ref="DD29" si="186">DB29-DC29+1000</f>
        <v>1000</v>
      </c>
      <c r="DE29" s="75" t="str">
        <f>IF(CU29&lt;&gt;"",VLOOKUP(CU29,B25:F29,5,FALSE),"")</f>
        <v/>
      </c>
      <c r="DF29" s="75" t="str">
        <f>IF(CU29&lt;&gt;"",VLOOKUP(CU29,B25:I29,8,FALSE),"")</f>
        <v/>
      </c>
      <c r="DG29" s="75" t="str">
        <f>IF(CU29&lt;&gt;"",VLOOKUP(CU29,B25:P29,15,FALSE),"")</f>
        <v/>
      </c>
      <c r="DH29" s="75">
        <f>SUMPRODUCT((DV3:DV42=CU29)*(DY3:DY42=CU30)*EB3:EB42)+SUMPRODUCT((DV3:DV42=CU29)*(DY3:DY42=CU31)*EB3:EB42)+SUMPRODUCT((DV3:DV42=CU29)*(DY3:DY42=CU28)*EB3:EB42)+SUMPRODUCT((DV3:DV42=CU30)*(DY3:DY42=CU29)*EC3:EC42)+SUMPRODUCT((DV3:DV42=CU31)*(DY3:DY42=CU29)*EC3:EC42)+SUMPRODUCT((DV3:DV42=CU28)*(DY3:DY42=CU29)*EC3:EC42)</f>
        <v>0</v>
      </c>
      <c r="DI29" s="75">
        <f>SUMPRODUCT((DV3:DV42=CU29)*(DY3:DY42=CU30)*ED3:ED42)+SUMPRODUCT((DV3:DV42=CU29)*(DY3:DY42=CU31)*ED3:ED42)+SUMPRODUCT((DV3:DV42=CU29)*(DY3:DY42=CU28)*ED3:ED42)+SUMPRODUCT((DV3:DV42=CU30)*(DY3:DY42=CU29)*EE3:EE42)+SUMPRODUCT((DV3:DV42=CU31)*(DY3:DY42=CU29)*EE3:EE42)+SUMPRODUCT((DV3:DV42=CU28)*(DY3:DY42=CU29)*EE3:EE42)</f>
        <v>0</v>
      </c>
      <c r="DJ29" s="75">
        <f t="shared" ref="DJ29" si="187">CV29*4+CW29*2+DH29+DI29</f>
        <v>0</v>
      </c>
      <c r="DK29" s="75" t="str">
        <f>IF(CU29&lt;&gt;"",RANK(DJ29,DJ28:DJ31),"")</f>
        <v/>
      </c>
      <c r="DL29" s="75">
        <f>SUMPRODUCT((DJ28:DJ31=DJ29)*(DA28:DA31&gt;DA29))</f>
        <v>0</v>
      </c>
      <c r="DM29" s="75">
        <f>SUMPRODUCT((DJ28:DJ31=DJ29)*(DA28:DA31=DA29)*(DD28:DD31&gt;DD29))</f>
        <v>0</v>
      </c>
      <c r="DN29" s="75">
        <f>SUMPRODUCT((DJ25:DJ29=DJ29)*(DA25:DA29=DA29)*(DD25:DD29=DD29)*(DE25:DE29&gt;DE29))</f>
        <v>0</v>
      </c>
      <c r="DO29" s="75">
        <f>SUMPRODUCT((DJ25:DJ29=DJ29)*(DA25:DA29=DA29)*(DD25:DD29=DD29)*(DE25:DE29=DE29)*(DF25:DF29&gt;DF29))</f>
        <v>0</v>
      </c>
      <c r="DP29" s="75">
        <f>SUMPRODUCT((DJ25:DJ29=DJ29)*(DA25:DA29=DA29)*(DD25:DD29=DD29)*(DE25:DE29=DE29)*(DF25:DF29=DF29)*(DG25:DG29&gt;DG29))</f>
        <v>0</v>
      </c>
      <c r="DQ29" s="75" t="str">
        <f t="shared" si="182"/>
        <v/>
      </c>
      <c r="DR29" s="75" t="str">
        <f>IF(CU28&lt;&gt;"",IF(CU28=DR28,CU29,CU28),"")</f>
        <v/>
      </c>
      <c r="DS29" s="75" t="str">
        <f>IF(DR29&lt;&gt;"",DR29,IF(CT29&lt;&gt;"",CT29,IF(BV29&lt;&gt;"",BV29,IF(AX29&lt;&gt;"",AX29,T29))))</f>
        <v>Ireland</v>
      </c>
      <c r="DT29" s="75">
        <v>5</v>
      </c>
      <c r="DU29" s="75">
        <v>27</v>
      </c>
      <c r="DV29" s="75" t="str">
        <f>Tournament!H39</f>
        <v>Argentina</v>
      </c>
      <c r="DW29" s="75">
        <f>IF(AND(Tournament!J39&lt;&gt;"",Tournament!L39&lt;&gt;""),Tournament!J39,0)</f>
        <v>0</v>
      </c>
      <c r="DX29" s="75">
        <f>IF(AND(Tournament!L39&lt;&gt;"",Tournament!J39&lt;&gt;""),Tournament!L39,0)</f>
        <v>0</v>
      </c>
      <c r="DY29" s="75" t="str">
        <f>Tournament!N39</f>
        <v>Tonga</v>
      </c>
      <c r="DZ29" s="75">
        <f>IF(Tournament!O39&lt;&gt;"",Tournament!O39,0)</f>
        <v>0</v>
      </c>
      <c r="EA29" s="75">
        <f>IF(Tournament!Q39&lt;&gt;"",Tournament!Q39,0)</f>
        <v>0</v>
      </c>
      <c r="EB29" s="75">
        <f>IF(DW29&lt;&gt;"",IF(Tournament!O39&gt;3,1,0),0)</f>
        <v>1</v>
      </c>
      <c r="EC29" s="75">
        <f>IF(DX29&lt;&gt;"",IF(Tournament!Q39&gt;3,1,0),0)</f>
        <v>1</v>
      </c>
      <c r="ED29" s="75">
        <f t="shared" si="1"/>
        <v>0</v>
      </c>
      <c r="EE29" s="75">
        <f t="shared" si="2"/>
        <v>0</v>
      </c>
      <c r="EF29" s="75" t="str">
        <f>IF(AND(Tournament!J39&lt;&gt;"",Tournament!L39&lt;&gt;""),IF(DW29&gt;DX29,"W",IF(DW29=DX29,"D","L")),"")</f>
        <v/>
      </c>
      <c r="EG29" s="75" t="str">
        <f t="shared" si="3"/>
        <v/>
      </c>
      <c r="EH29" s="75">
        <f ca="1">VLOOKUP(EI29,IZ25:JA29,2,FALSE)</f>
        <v>2</v>
      </c>
      <c r="EI29" s="75" t="s">
        <v>47</v>
      </c>
      <c r="EJ29" s="75">
        <f t="shared" ca="1" si="150"/>
        <v>0</v>
      </c>
      <c r="EK29" s="75">
        <f t="shared" ca="1" si="151"/>
        <v>0</v>
      </c>
      <c r="EL29" s="75">
        <f t="shared" ca="1" si="152"/>
        <v>0</v>
      </c>
      <c r="EM29" s="75">
        <f t="shared" ca="1" si="153"/>
        <v>0</v>
      </c>
      <c r="EN29" s="75">
        <f t="shared" ca="1" si="166"/>
        <v>0</v>
      </c>
      <c r="EO29" s="75">
        <f t="shared" ca="1" si="154"/>
        <v>1000</v>
      </c>
      <c r="EP29" s="75">
        <f t="shared" ca="1" si="167"/>
        <v>0</v>
      </c>
      <c r="EQ29" s="75">
        <f t="shared" ca="1" si="168"/>
        <v>0</v>
      </c>
      <c r="ER29" s="75">
        <f t="shared" ca="1" si="155"/>
        <v>1000</v>
      </c>
      <c r="ES29" s="75">
        <f t="shared" ca="1" si="156"/>
        <v>0</v>
      </c>
      <c r="ET29" s="75">
        <f ca="1">SUMIF(JC:JC,EI29,JI:JI)+SUMIF(JF:JF,EI29,JJ:JJ)</f>
        <v>0</v>
      </c>
      <c r="EU29" s="75">
        <f ca="1">SUMIF(JC:JC,EI29,JK:JK)+SUMIF(JF:JF,EI29,JL:JL)</f>
        <v>0</v>
      </c>
      <c r="EV29" s="75">
        <f t="shared" ca="1" si="157"/>
        <v>0</v>
      </c>
      <c r="EW29" s="75">
        <v>17</v>
      </c>
      <c r="EX29" s="75">
        <f t="shared" ca="1" si="169"/>
        <v>1</v>
      </c>
      <c r="EZ29" s="75">
        <f ca="1">RANK(EV29,EV$25:EV$29)+COUNTIF(EV$25:EV29,EV29)-1</f>
        <v>5</v>
      </c>
      <c r="FA29" s="75" t="str">
        <f ca="1">INDEX(EI$25:EI$29,MATCH(5,EZ$25:EZ$29,0),0)</f>
        <v>Romania</v>
      </c>
      <c r="FB29" s="75">
        <f t="shared" ca="1" si="170"/>
        <v>1</v>
      </c>
      <c r="FC29" s="75" t="str">
        <f ca="1">IF(AND(FC28&lt;&gt;"",FB29=1),FA29,"")</f>
        <v>Romania</v>
      </c>
      <c r="FH29" s="75" t="str">
        <f t="shared" ca="1" si="171"/>
        <v>Romania</v>
      </c>
      <c r="FI29" s="75">
        <f ca="1">SUMPRODUCT((JC3:JC42=FH29)*(JF3:JF42=FH25)*(JM3:JM42="W"))+SUMPRODUCT((JC3:JC42=FH29)*(JF3:JF42=FH26)*(JM3:JM42="W"))+SUMPRODUCT((JC3:JC42=FH29)*(JF3:JF42=FH27)*(JM3:JM42="W"))+SUMPRODUCT((JC3:JC42=FH29)*(JF3:JF42=FH28)*(JM3:JM42="W"))+SUMPRODUCT((JC3:JC42=FH25)*(JF3:JF42=FH29)*(JN3:JN42="W"))+SUMPRODUCT((JC3:JC42=FH26)*(JF3:JF42=FH29)*(JN3:JN42="W"))+SUMPRODUCT((JC3:JC42=FH27)*(JF3:JF42=FH29)*(JN3:JN42="W"))+SUMPRODUCT((JC3:JC42=FH28)*(JF3:JF42=FH29)*(JN3:JN42="W"))</f>
        <v>0</v>
      </c>
      <c r="FJ29" s="75">
        <f ca="1">SUMPRODUCT((JC3:JC42=FH29)*(JF3:JF42=FH25)*(JM3:JM42="D"))+SUMPRODUCT((JC3:JC42=FH29)*(JF3:JF42=FH26)*(JM3:JM42="D"))+SUMPRODUCT((JC3:JC42=FH29)*(JF3:JF42=FH27)*(JM3:JM42="D"))+SUMPRODUCT((JC3:JC42=FH29)*(JF3:JF42=FH28)*(JM3:JM42="D"))+SUMPRODUCT((JC3:JC42=FH25)*(JF3:JF42=FH29)*(JM3:JM42="D"))+SUMPRODUCT((JC3:JC42=FH26)*(JF3:JF42=FH29)*(JM3:JM42="D"))+SUMPRODUCT((JC3:JC42=FH27)*(JF3:JF42=FH29)*(JM3:JM42="D"))+SUMPRODUCT((JC3:JC42=FH28)*(JF3:JF42=FH29)*(JM3:JM42="D"))</f>
        <v>0</v>
      </c>
      <c r="FK29" s="75">
        <f ca="1">SUMPRODUCT((JC3:JC42=FH29)*(JF3:JF42=FH25)*(JM3:JM42="L"))+SUMPRODUCT((JC3:JC42=FH29)*(JF3:JF42=FH26)*(JM3:JM42="L"))+SUMPRODUCT((JC3:JC42=FH29)*(JF3:JF42=FH27)*(JM3:JM42="L"))+SUMPRODUCT((JC3:JC42=FH29)*(JF3:JF42=FH28)*(JM3:JM42="L"))+SUMPRODUCT((JC3:JC42=FH25)*(JF3:JF42=FH29)*(JN3:JN42="L"))+SUMPRODUCT((JC3:JC42=FH26)*(JF3:JF42=FH29)*(JN3:JN42="L"))+SUMPRODUCT((JC3:JC42=FH27)*(JF3:JF42=FH29)*(JN3:JN42="L"))+SUMPRODUCT((JC3:JC42=FH28)*(JF3:JF42=FH29)*(JN3:JN42="L"))</f>
        <v>0</v>
      </c>
      <c r="FL29" s="75">
        <f ca="1">IF(FH29&lt;&gt;"",VLOOKUP(FH29,EI4:EM29,5,FALSE),0)</f>
        <v>0</v>
      </c>
      <c r="FM29" s="75">
        <f ca="1">IF(FH29&lt;&gt;"",VLOOKUP(FH29,EI4:EN29,6,FALSE),0)</f>
        <v>0</v>
      </c>
      <c r="FN29" s="75">
        <f ca="1">FL29-FM29+1000</f>
        <v>1000</v>
      </c>
      <c r="FO29" s="75">
        <f ca="1">IF(FH29&lt;&gt;"",VLOOKUP(FH29,EI4:EP29,8,FALSE),0)</f>
        <v>0</v>
      </c>
      <c r="FP29" s="75">
        <f ca="1">IF(FH29&lt;&gt;"",VLOOKUP(FH29,EI4:EQ29,9,FALSE),0)</f>
        <v>0</v>
      </c>
      <c r="FQ29" s="75">
        <f ca="1">IF(FH29&lt;&gt;"",FO29-FP29+1000,"")</f>
        <v>1000</v>
      </c>
      <c r="FR29" s="75">
        <f ca="1">IF(FH29&lt;&gt;"",VLOOKUP(FH29,EI25:EM29,5,FALSE),"")</f>
        <v>0</v>
      </c>
      <c r="FS29" s="75">
        <f ca="1">IF(FH29&lt;&gt;"",VLOOKUP(FH29,EI25:EP29,8,FALSE),"")</f>
        <v>0</v>
      </c>
      <c r="FT29" s="75">
        <f ca="1">IF(FH29&lt;&gt;"",VLOOKUP(FH29,EI25:EW29,15,FALSE),"")</f>
        <v>17</v>
      </c>
      <c r="FU29" s="75">
        <f ca="1">SUMPRODUCT((JC3:JC42=FH29)*(JF3:JF42=FH25)*JI3:JI42)+SUMPRODUCT((JC3:JC42=FH29)*(JF3:JF42=FH26)*JI3:JI42)+SUMPRODUCT((JC3:JC42=FH29)*(JF3:JF42=FH27)*JI3:JI42)+SUMPRODUCT((JC3:JC42=FH29)*(JF3:JF42=FH28)*JI3:JI42)+SUMPRODUCT((JC3:JC42=FH25)*(JF3:JF42=FH29)*JJ3:JJ42)+SUMPRODUCT((JC3:JC42=FH26)*(JF3:JF42=FH29)*JJ3:JJ42)+SUMPRODUCT((JC3:JC42=FH27)*(JF3:JF42=FH29)*JJ3:JJ42)+SUMPRODUCT((JC3:JC42=FH28)*(JF3:JF42=FH29)*JJ3:JJ42)</f>
        <v>0</v>
      </c>
      <c r="FV29" s="75">
        <f ca="1">SUMPRODUCT((JC3:JC42=FH29)*(JF3:JF42=FH25)*JK3:JK42)+SUMPRODUCT((JC3:JC42=FH29)*(JF3:JF42=FH26)*JK3:JK42)+SUMPRODUCT((JC3:JC42=FH29)*(JF3:JF42=FH27)*JK3:JK42)+SUMPRODUCT((JC3:JC42=FH29)*(JF3:JF42=FH28)*JK3:JK42)+SUMPRODUCT((JC3:JC42=FH25)*(JF3:JF42=FH29)*JL3:JL42)+SUMPRODUCT((JC3:JC42=FH26)*(JF3:JF42=FH29)*JL3:JL42)+SUMPRODUCT((JC3:JC42=FH27)*(JF3:JF42=FH29)*JL3:JL42)+SUMPRODUCT((JC3:JC42=FH28)*(JF3:JF42=FH29)*JL3:JL42)</f>
        <v>0</v>
      </c>
      <c r="FW29" s="75">
        <f ca="1">IF(FH29&lt;&gt;"",FI29*4+FJ29*2+FU29+FV29,"")</f>
        <v>0</v>
      </c>
      <c r="FX29" s="75">
        <f ca="1">IF(FH29&lt;&gt;"",RANK(FW29,FW25:FW29),"")</f>
        <v>1</v>
      </c>
      <c r="FY29" s="75">
        <f ca="1">SUMPRODUCT((FW25:FW29=FW29)*(FN25:FN29&gt;FN29))</f>
        <v>0</v>
      </c>
      <c r="FZ29" s="75">
        <f ca="1">SUMPRODUCT((FW25:FW29=FW29)*(FN25:FN29=FN29)*(FQ25:FQ29&gt;FQ29))</f>
        <v>0</v>
      </c>
      <c r="GA29" s="75">
        <f ca="1">SUMPRODUCT((FW25:FW29=FW29)*(FN25:FN29=FN29)*(FQ25:FQ29=FQ29)*(FR25:FR29&gt;FR29))</f>
        <v>0</v>
      </c>
      <c r="GB29" s="75">
        <f ca="1">SUMPRODUCT((FW25:FW29=FW29)*(FN25:FN29=FN29)*(FQ25:FQ29=FQ29)*(FR25:FR29=FR29)*(FS25:FS29&gt;FS29))</f>
        <v>0</v>
      </c>
      <c r="GC29" s="75">
        <f ca="1">SUMPRODUCT((FW25:FW29=FW29)*(FN25:FN29=FN29)*(FQ25:FQ29=FQ29)*(FR25:FR29=FR29)*(FS25:FS29=FS29)*(FT25:FT29&gt;FT29))</f>
        <v>1</v>
      </c>
      <c r="GD29" s="75">
        <f t="shared" ca="1" si="174"/>
        <v>2</v>
      </c>
      <c r="GE29" s="75" t="str">
        <f ca="1">IF(FH29&lt;&gt;"",INDEX(FH25:FH29,MATCH(5,GD25:GD29,0),0),"")</f>
        <v>Ireland</v>
      </c>
      <c r="GF29" s="75" t="str">
        <f ca="1">IF(FD28&lt;&gt;"",FD28,"")</f>
        <v/>
      </c>
      <c r="GG29" s="75" t="str">
        <f ca="1">IF(GF29&lt;&gt;"",SUMPRODUCT((JC3:JC42=GF29)*(JF3:JF42=GF26)*(JM3:JM42="W"))+SUMPRODUCT((JC3:JC42=GF29)*(JF3:JF42=GF27)*(JM3:JM42="W"))+SUMPRODUCT((JC3:JC42=GF29)*(JF3:JF42=GF28)*(JM3:JM42="W"))+SUMPRODUCT((JC3:JC42=GF26)*(JF3:JF42=GF29)*(JM3:JM42="W"))+SUMPRODUCT((JC3:JC42=GF27)*(JF3:JF42=GF29)*(JM3:JM42="W"))+SUMPRODUCT((JC3:JC42=GF28)*(JF3:JF42=GF29)*(JM3:JM42="W")),"")</f>
        <v/>
      </c>
      <c r="GH29" s="75" t="str">
        <f ca="1">IF(GF29&lt;&gt;"",SUMPRODUCT((JC3:JC42=GF29)*(JF3:JF42=GF26)*(JM3:JM42="D"))+SUMPRODUCT((JC3:JC42=GF29)*(JF3:JF42=GF27)*(JM3:JM42="D"))+SUMPRODUCT((JC3:JC42=GF29)*(JF3:JF42=GF28)*(JM3:JM42="D"))+SUMPRODUCT((JC3:JC42=GF26)*(JF3:JF42=GF29)*(JM3:JM42="D"))+SUMPRODUCT((JC3:JC42=GF27)*(JF3:JF42=GF29)*(JM3:JM42="D"))+SUMPRODUCT((JC3:JC42=GF28)*(JF3:JF42=GF29)*(JM3:JM42="D")),"")</f>
        <v/>
      </c>
      <c r="GI29" s="75" t="str">
        <f ca="1">IF(GF29&lt;&gt;"",SUMPRODUCT((JC3:JC42=GF29)*(JF3:JF42=GF26)*(JM3:JM42="L"))+SUMPRODUCT((JC3:JC42=GF29)*(JF3:JF42=GF27)*(JM3:JM42="L"))+SUMPRODUCT((JC3:JC42=GF29)*(JF3:JF42=GF28)*(JM3:JM42="L"))+SUMPRODUCT((JC3:JC42=GF26)*(JF3:JF42=GF29)*(JM3:JM42="L"))+SUMPRODUCT((JC3:JC42=GF27)*(JF3:JF42=GF29)*(JM3:JM42="L"))+SUMPRODUCT((JC3:JC42=GF28)*(JF3:JF42=GF29)*(JM3:JM42="L")),"")</f>
        <v/>
      </c>
      <c r="GJ29" s="75">
        <f ca="1">IF(GF29&lt;&gt;"",VLOOKUP(GF29,EI4:EM29,5,FALSE),0)</f>
        <v>0</v>
      </c>
      <c r="GK29" s="75">
        <f ca="1">IF(GF29&lt;&gt;"",VLOOKUP(GF29,EI4:EN29,6,FALSE),0)</f>
        <v>0</v>
      </c>
      <c r="GL29" s="75">
        <f ca="1">GJ29-GK29+1000</f>
        <v>1000</v>
      </c>
      <c r="GM29" s="75">
        <f ca="1">IF(GF29&lt;&gt;"",VLOOKUP(GF29,EI4:EP29,8,FALSE),0)</f>
        <v>0</v>
      </c>
      <c r="GN29" s="75">
        <f ca="1">IF(GF29&lt;&gt;"",VLOOKUP(GF29,EI4:EQ29,9,FALSE),0)</f>
        <v>0</v>
      </c>
      <c r="GO29" s="75" t="str">
        <f ca="1">IF(GF29&lt;&gt;"",GM29-GN29+1000,"")</f>
        <v/>
      </c>
      <c r="GP29" s="75" t="str">
        <f ca="1">IF(GF29&lt;&gt;"",VLOOKUP(GF29,EI25:EM29,5,FALSE),"")</f>
        <v/>
      </c>
      <c r="GQ29" s="75" t="str">
        <f ca="1">IF(GF29&lt;&gt;"",VLOOKUP(GF29,EI25:EP29,8,FALSE),"")</f>
        <v/>
      </c>
      <c r="GR29" s="75" t="str">
        <f ca="1">IF(GF29&lt;&gt;"",VLOOKUP(GF29,EI25:EW29,15,FALSE),"")</f>
        <v/>
      </c>
      <c r="GS29" s="75" t="str">
        <f ca="1">IF(GF29&lt;&gt;"",SUMPRODUCT((JC3:JC42=GF29)*(JF3:JF42=GF26)*JI3:JI42)+SUMPRODUCT((JC3:JC42=GF29)*(JF3:JF42=GF27)*JI3:JI42)+SUMPRODUCT((JC3:JC42=GF29)*(JF3:JF42=GF28)*JI3:JI42)+SUMPRODUCT((JC3:JC42=GF26)*(JF3:JF42=GF29)*JJ3:JJ42)+SUMPRODUCT((JC3:JC42=GF27)*(JF3:JF42=GF29)*JJ3:JJ42)+SUMPRODUCT((JC3:JC42=GF28)*(JF3:JF42=GF29)*JJ3:JJ42),"")</f>
        <v/>
      </c>
      <c r="GT29" s="75" t="str">
        <f ca="1">IF(GF29&lt;&gt;"",SUMPRODUCT((JC3:JC42=GF29)*(JF3:JF42=GF26)*JK3:JK42)+SUMPRODUCT((JC3:JC42=GF29)*(JF3:JF42=GF27)*JK3:JK42)+SUMPRODUCT((JC3:JC42=GF29)*(JF3:JF42=GF28)*JK3:JK42)+SUMPRODUCT((JC3:JC42=GF26)*(JF3:JF42=GF29)*JL3:JL42)+SUMPRODUCT((JC3:JC42=GF27)*(JF3:JF42=GF29)*JL3:JL42)+SUMPRODUCT((JC3:JC42=GF28)*(JF3:JF42=GF29)*JL3:JL42),"")</f>
        <v/>
      </c>
      <c r="GU29" s="75" t="str">
        <f ca="1">IF(GF29&lt;&gt;"",GG29*4+GH29*2+GS29+GT29,"")</f>
        <v/>
      </c>
      <c r="GV29" s="75" t="str">
        <f ca="1">IF(GF29&lt;&gt;"",RANK(GU29,GU26:GU29),"")</f>
        <v/>
      </c>
      <c r="GW29" s="75">
        <f ca="1">SUMPRODUCT((GU26:GU29=GU29)*(GL26:GL29&gt;GL29))</f>
        <v>0</v>
      </c>
      <c r="GX29" s="75">
        <f ca="1">SUMPRODUCT((GU26:GU29=GU29)*(GL26:GL29=GL29)*(GO26:GO29&gt;GO29))</f>
        <v>0</v>
      </c>
      <c r="GY29" s="75">
        <f ca="1">SUMPRODUCT((GU25:GU29=GU29)*(GL25:GL29=GL29)*(GO25:GO29=GO29)*(GP25:GP29&gt;GP29))</f>
        <v>0</v>
      </c>
      <c r="GZ29" s="75">
        <f ca="1">SUMPRODUCT((GU25:GU29=GU29)*(GL25:GL29=GL29)*(GO25:GO29=GO29)*(GP25:GP29=GP29)*(GQ25:GQ29&gt;GQ29))</f>
        <v>0</v>
      </c>
      <c r="HA29" s="75">
        <f ca="1">SUMPRODUCT((GU25:GU29=GU29)*(GL25:GL29=GL29)*(GO25:GO29=GO29)*(GP25:GP29=GP29)*(GQ25:GQ29=GQ29)*(GR25:GR29&gt;GR29))</f>
        <v>0</v>
      </c>
      <c r="HB29" s="75" t="str">
        <f t="shared" ca="1" si="175"/>
        <v/>
      </c>
      <c r="HC29" s="75" t="str">
        <f ca="1">IF(GF29&lt;&gt;"",INDEX(GF26:GF29,MATCH(5,HB26:HB29,0),0),"")</f>
        <v/>
      </c>
      <c r="HD29" s="75" t="str">
        <f ca="1">IF(FE27&lt;&gt;"",FE27,"")</f>
        <v/>
      </c>
      <c r="HE29" s="75" t="str">
        <f ca="1">IF(HD29&lt;&gt;"",SUMPRODUCT((JC3:JC42=HD29)*(JF3:JF42=HD30)*(JM3:JM42="W"))+SUMPRODUCT((JC3:JC42=HD29)*(JF3:JF42=HD27)*(JM3:JM42="W"))+SUMPRODUCT((JC3:JC42=HD29)*(JF3:JF42=HD28)*(JM3:JM42="W"))+SUMPRODUCT((JC3:JC42=HD30)*(JF3:JF42=HD29)*(JN3:JN42="W"))+SUMPRODUCT((JC3:JC42=HD27)*(JF3:JF42=HD29)*(JN3:JN42="W"))+SUMPRODUCT((JC3:JC42=HD28)*(JF3:JF42=HD29)*(JN3:JN42="W")),"")</f>
        <v/>
      </c>
      <c r="HF29" s="75" t="str">
        <f ca="1">IF(HD29&lt;&gt;"",SUMPRODUCT((JC3:JC42=HD29)*(JF3:JF42=HD30)*(JM3:JM42="D"))+SUMPRODUCT((JC3:JC42=HD29)*(JF3:JF42=HD27)*(JM3:JM42="D"))+SUMPRODUCT((JC3:JC42=HD29)*(JF3:JF42=HD28)*(JM3:JM42="D"))+SUMPRODUCT((JC3:JC42=HD30)*(JF3:JF42=HD29)*(JM3:JM42="D"))+SUMPRODUCT((JC3:JC42=HD27)*(JF3:JF42=HD29)*(JM3:JM42="D"))+SUMPRODUCT((JC3:JC42=HD28)*(JF3:JF42=HD29)*(JM3:JM42="D")),"")</f>
        <v/>
      </c>
      <c r="HG29" s="75" t="str">
        <f ca="1">IF(HD29&lt;&gt;"",SUMPRODUCT((JC3:JC42=HD29)*(JF3:JF42=HD30)*(JM3:JM42="L"))+SUMPRODUCT((JC3:JC42=HD29)*(JF3:JF42=HD27)*(JM3:JM42="L"))+SUMPRODUCT((JC3:JC42=HD29)*(JF3:JF42=HD28)*(JM3:JM42="L"))+SUMPRODUCT((JC3:JC42=HD30)*(JF3:JF42=HD29)*(JN3:JN42="L"))+SUMPRODUCT((JC3:JC42=HD27)*(JF3:JF42=HD29)*(JN3:JN42="L"))+SUMPRODUCT((JC3:JC42=HD28)*(JF3:JF42=HD29)*(JN3:JN42="L")),"")</f>
        <v/>
      </c>
      <c r="HH29" s="75">
        <f ca="1">IF(HD29&lt;&gt;"",VLOOKUP(HD29,EI4:EM29,5,FALSE),0)</f>
        <v>0</v>
      </c>
      <c r="HI29" s="75">
        <f ca="1">IF(HD29&lt;&gt;"",VLOOKUP(HD29,EI4:EN29,6,FALSE),0)</f>
        <v>0</v>
      </c>
      <c r="HJ29" s="75">
        <f ca="1">HH29-HI29+1000</f>
        <v>1000</v>
      </c>
      <c r="HK29" s="75">
        <f ca="1">IF(HD29&lt;&gt;"",VLOOKUP(HD29,EI4:EP29,8,FALSE),0)</f>
        <v>0</v>
      </c>
      <c r="HL29" s="75">
        <f ca="1">IF(HD29&lt;&gt;"",VLOOKUP(HD29,EI4:EQ29,9,FALSE),0)</f>
        <v>0</v>
      </c>
      <c r="HM29" s="75" t="str">
        <f ca="1">IF(HD29&lt;&gt;"",HK29-HL29+1000,"")</f>
        <v/>
      </c>
      <c r="HN29" s="75" t="str">
        <f ca="1">IF(HD29&lt;&gt;"",VLOOKUP(HD29,EI25:EM29,5,FALSE),"")</f>
        <v/>
      </c>
      <c r="HO29" s="75" t="str">
        <f ca="1">IF(HD29&lt;&gt;"",VLOOKUP(HD29,EI25:EP29,8,FALSE),"")</f>
        <v/>
      </c>
      <c r="HP29" s="75" t="str">
        <f ca="1">IF(HD29&lt;&gt;"",VLOOKUP(HD29,EI25:EW29,15,FALSE),"")</f>
        <v/>
      </c>
      <c r="HQ29" s="75" t="str">
        <f ca="1">IF(HD29&lt;&gt;"",SUMPRODUCT((JC3:JC42=HD29)*(JF3:JF42=HD30)*JI3:JI42)+SUMPRODUCT((JC3:JC42=HD29)*(JF3:JF42=HD27)*JI3:JI42)+SUMPRODUCT((JC3:JC42=HD29)*(JF3:JF42=HD28)*JI3:JI42)+SUMPRODUCT((JC3:JC42=HD30)*(JF3:JF42=HD29)*JJ3:JJ42)+SUMPRODUCT((JC3:JC42=HD27)*(JF3:JF42=HD29)*JJ3:JJ42)+SUMPRODUCT((JC3:JC42=HD28)*(JF3:JF42=HD29)*JJ3:JJ42),"")</f>
        <v/>
      </c>
      <c r="HR29" s="75" t="str">
        <f ca="1">IF(HD29&lt;&gt;"",SUMPRODUCT((JC3:JC42=HD29)*(JF3:JF42=HD30)*JK3:JK42)+SUMPRODUCT((JC3:JC42=HD29)*(JF3:JF42=HD27)*JK3:JK42)+SUMPRODUCT((JC3:JC42=HD29)*(JF3:JF42=HD28)*JK3:JK42)+SUMPRODUCT((JC3:JC42=HD30)*(JF3:JF42=HD29)*JL3:JL42)+SUMPRODUCT((JC3:JC42=HD27)*(JF3:JF42=HD29)*JL3:JL42)+SUMPRODUCT((JC3:JC42=HD28)*(JF3:JF42=HD29)*JL3:JL42),"")</f>
        <v/>
      </c>
      <c r="HS29" s="75" t="str">
        <f ca="1">IF(HD29&lt;&gt;"",HE29*4+HF29*2+HQ29+HR29,"")</f>
        <v/>
      </c>
      <c r="HT29" s="75" t="str">
        <f ca="1">IF(HD29&lt;&gt;"",RANK(HS29,HS27:HS30),"")</f>
        <v/>
      </c>
      <c r="HU29" s="75">
        <f ca="1">SUMPRODUCT((HS27:HS30=HS29)*(HJ27:HJ30&gt;HJ29))</f>
        <v>0</v>
      </c>
      <c r="HV29" s="75">
        <f ca="1">SUMPRODUCT((HS27:HS30=HS29)*(HJ27:HJ30=HJ29)*(HM27:HM30&gt;HM29))</f>
        <v>0</v>
      </c>
      <c r="HW29" s="75">
        <f ca="1">SUMPRODUCT((HS25:HS29=HS29)*(HJ25:HJ29=HJ29)*(HM25:HM29=HM29)*(HN25:HN29&gt;HN29))</f>
        <v>0</v>
      </c>
      <c r="HX29" s="75">
        <f ca="1">SUMPRODUCT((HS25:HS29=HS29)*(HJ25:HJ29=HJ29)*(HM25:HM29=HM29)*(HN25:HN29=HN29)*(HO25:HO29&gt;HO29))</f>
        <v>0</v>
      </c>
      <c r="HY29" s="75">
        <f ca="1">SUMPRODUCT((HS25:HS29=HS29)*(HJ25:HJ29=HJ29)*(HM25:HM29=HM29)*(HN25:HN29=HN29)*(HO25:HO29=HO29)*(HP25:HP29&gt;HP29))</f>
        <v>0</v>
      </c>
      <c r="HZ29" s="75" t="str">
        <f t="shared" ca="1" si="179"/>
        <v/>
      </c>
      <c r="IA29" s="75" t="str">
        <f ca="1">IF(HD29&lt;&gt;"",INDEX(HD27:HD29,MATCH(5,HZ27:HZ29,0),0),"")</f>
        <v/>
      </c>
      <c r="IB29" s="75" t="str">
        <f ca="1">IF(FF26&lt;&gt;"",FF26,"")</f>
        <v/>
      </c>
      <c r="IC29" s="75">
        <f ca="1">SUMPRODUCT((JC3:JC42=IB29)*(JF3:JF42=IB30)*(JM3:JM42="W"))+SUMPRODUCT((JC3:JC42=IB29)*(JF3:JF42=IB31)*(JM3:JM42="W"))+SUMPRODUCT((JC3:JC42=IB29)*(JF3:JF42=IB28)*(JM3:JM42="W"))+SUMPRODUCT((JC3:JC42=IB30)*(JF3:JF42=IB29)*(JN3:JN42="W"))+SUMPRODUCT((JC3:JC42=IB31)*(JF3:JF42=IB29)*(JN3:JN42="W"))+SUMPRODUCT((JC3:JC42=IB28)*(JF3:JF42=IB29)*(JN3:JN42="W"))</f>
        <v>0</v>
      </c>
      <c r="ID29" s="75">
        <f ca="1">SUMPRODUCT((JC3:JC42=IB29)*(JF3:JF42=IB30)*(JM3:JM42="D"))+SUMPRODUCT((JC3:JC42=IB29)*(JF3:JF42=IB31)*(JM3:JM42="D"))+SUMPRODUCT((JC3:JC42=IB29)*(JF3:JF42=IB28)*(JM3:JM42="D"))+SUMPRODUCT((JC3:JC42=IB30)*(JF3:JF42=IB29)*(JM3:JM42="D"))+SUMPRODUCT((JC3:JC42=IB31)*(JF3:JF42=IB29)*(JM3:JM42="D"))+SUMPRODUCT((JC3:JC42=IB28)*(JF3:JF42=IB29)*(JM3:JM42="D"))</f>
        <v>0</v>
      </c>
      <c r="IE29" s="75">
        <f ca="1">SUMPRODUCT((JC3:JC42=IB29)*(JF3:JF42=IB30)*(JM3:JM42="L"))+SUMPRODUCT((JC3:JC42=IB29)*(JF3:JF42=IB31)*(JM3:JM42="L"))+SUMPRODUCT((JC3:JC42=IB29)*(JF3:JF42=IB28)*(JM3:JM42="L"))+SUMPRODUCT((JC3:JC42=IB30)*(JF3:JF42=IB29)*(JN3:JN42="L"))+SUMPRODUCT((JC3:JC42=IB31)*(JF3:JF42=IB29)*(JN3:JN42="L"))+SUMPRODUCT((JC3:JC42=IB28)*(JF3:JF42=IB29)*(JN3:JN42="L"))</f>
        <v>0</v>
      </c>
      <c r="IF29" s="75">
        <f ca="1">IF(IB29&lt;&gt;"",VLOOKUP(IB29,EI4:EM29,5,FALSE),0)</f>
        <v>0</v>
      </c>
      <c r="IG29" s="75">
        <f ca="1">IF(IB29&lt;&gt;"",VLOOKUP(IB29,EI4:EN29,6,FALSE),0)</f>
        <v>0</v>
      </c>
      <c r="IH29" s="75">
        <f ca="1">IF29-IG29+1000</f>
        <v>1000</v>
      </c>
      <c r="II29" s="75">
        <f ca="1">IF(IB29&lt;&gt;"",VLOOKUP(IB29,EI4:EP29,8,FALSE),0)</f>
        <v>0</v>
      </c>
      <c r="IJ29" s="75">
        <f ca="1">IF(IB29&lt;&gt;"",VLOOKUP(IB29,EI4:EQ29,9,FALSE),0)</f>
        <v>0</v>
      </c>
      <c r="IK29" s="75">
        <f t="shared" ref="IK29" ca="1" si="188">II29-IJ29+1000</f>
        <v>1000</v>
      </c>
      <c r="IL29" s="75" t="str">
        <f ca="1">IF(IB29&lt;&gt;"",VLOOKUP(IB29,EI25:EM29,5,FALSE),"")</f>
        <v/>
      </c>
      <c r="IM29" s="75" t="str">
        <f ca="1">IF(IB29&lt;&gt;"",VLOOKUP(IB29,EI25:EP29,8,FALSE),"")</f>
        <v/>
      </c>
      <c r="IN29" s="75" t="str">
        <f ca="1">IF(IB29&lt;&gt;"",VLOOKUP(IB29,EI25:EW29,15,FALSE),"")</f>
        <v/>
      </c>
      <c r="IO29" s="75">
        <f ca="1">SUMPRODUCT((JC3:JC42=IB29)*(JF3:JF42=IB30)*JI3:JI42)+SUMPRODUCT((JC3:JC42=IB29)*(JF3:JF42=IB31)*JI3:JI42)+SUMPRODUCT((JC3:JC42=IB29)*(JF3:JF42=IB28)*JI3:JI42)+SUMPRODUCT((JC3:JC42=IB30)*(JF3:JF42=IB29)*JJ3:JJ42)+SUMPRODUCT((JC3:JC42=IB31)*(JF3:JF42=IB29)*JJ3:JJ42)+SUMPRODUCT((JC3:JC42=IB28)*(JF3:JF42=IB29)*JJ3:JJ42)</f>
        <v>0</v>
      </c>
      <c r="IP29" s="75">
        <f ca="1">SUMPRODUCT((JC3:JC42=IB29)*(JF3:JF42=IB30)*JK3:JK42)+SUMPRODUCT((JC3:JC42=IB29)*(JF3:JF42=IB31)*JK3:JK42)+SUMPRODUCT((JC3:JC42=IB29)*(JF3:JF42=IB28)*JK3:JK42)+SUMPRODUCT((JC3:JC42=IB30)*(JF3:JF42=IB29)*JL3:JL42)+SUMPRODUCT((JC3:JC42=IB31)*(JF3:JF42=IB29)*JL3:JL42)+SUMPRODUCT((JC3:JC42=IB28)*(JF3:JF42=IB29)*JL3:JL42)</f>
        <v>0</v>
      </c>
      <c r="IQ29" s="75">
        <f t="shared" ref="IQ29" ca="1" si="189">IC29*4+ID29*2+IO29+IP29</f>
        <v>0</v>
      </c>
      <c r="IR29" s="75" t="str">
        <f ca="1">IF(IB29&lt;&gt;"",RANK(IQ29,IQ28:IQ31),"")</f>
        <v/>
      </c>
      <c r="IS29" s="75">
        <f ca="1">SUMPRODUCT((IQ28:IQ31=IQ29)*(IH28:IH31&gt;IH29))</f>
        <v>0</v>
      </c>
      <c r="IT29" s="75">
        <f ca="1">SUMPRODUCT((IQ28:IQ31=IQ29)*(IH28:IH31=IH29)*(IK28:IK31&gt;IK29))</f>
        <v>0</v>
      </c>
      <c r="IU29" s="75">
        <f ca="1">SUMPRODUCT((IQ25:IQ29=IQ29)*(IH25:IH29=IH29)*(IK25:IK29=IK29)*(IL25:IL29&gt;IL29))</f>
        <v>0</v>
      </c>
      <c r="IV29" s="75">
        <f ca="1">SUMPRODUCT((IQ25:IQ29=IQ29)*(IH25:IH29=IH29)*(IK25:IK29=IK29)*(IL25:IL29=IL29)*(IM25:IM29&gt;IM29))</f>
        <v>0</v>
      </c>
      <c r="IW29" s="75">
        <f ca="1">SUMPRODUCT((IQ25:IQ29=IQ29)*(IH25:IH29=IH29)*(IK25:IK29=IK29)*(IL25:IL29=IL29)*(IM25:IM29=IM29)*(IN25:IN29&gt;IN29))</f>
        <v>0</v>
      </c>
      <c r="IX29" s="75" t="str">
        <f t="shared" ca="1" si="185"/>
        <v/>
      </c>
      <c r="IY29" s="75" t="str">
        <f ca="1">IF(IB28&lt;&gt;"",IF(IB28=IY28,IB29,IB28),"")</f>
        <v/>
      </c>
      <c r="IZ29" s="75" t="str">
        <f ca="1">IF(IY29&lt;&gt;"",IY29,IF(IA29&lt;&gt;"",IA29,IF(HC29&lt;&gt;"",HC29,IF(GE29&lt;&gt;"",GE29,FA29))))</f>
        <v>Ireland</v>
      </c>
      <c r="JA29" s="75">
        <v>5</v>
      </c>
      <c r="JB29" s="75">
        <v>27</v>
      </c>
      <c r="JC29" s="75" t="str">
        <f t="shared" si="4"/>
        <v>Argentina</v>
      </c>
      <c r="JD29" s="75" t="str">
        <f ca="1">IF(OFFSET('Prediction Sheet'!$W39,0,JD$1)&lt;&gt;"",OFFSET('Prediction Sheet'!$W39,0,JD$1),"")</f>
        <v/>
      </c>
      <c r="JE29" s="75" t="str">
        <f ca="1">IF(OFFSET('Prediction Sheet'!$Y39,0,JD$1)&lt;&gt;"",OFFSET('Prediction Sheet'!$Y39,0,JD$1),"")</f>
        <v/>
      </c>
      <c r="JF29" s="75" t="str">
        <f t="shared" si="5"/>
        <v>Tonga</v>
      </c>
      <c r="JG29" s="75" t="str">
        <f ca="1">IF(OFFSET('Prediction Sheet'!$AA39,0,JF$1)&lt;&gt;"",OFFSET('Prediction Sheet'!$AA39,0,JF$1),"")</f>
        <v/>
      </c>
      <c r="JH29" s="75" t="str">
        <f ca="1">IF(OFFSET('Prediction Sheet'!$AC39,0,JG$1)&lt;&gt;"",OFFSET('Prediction Sheet'!$AC39,0,JG$1),"")</f>
        <v/>
      </c>
      <c r="JI29" s="75">
        <f t="shared" ca="1" si="6"/>
        <v>0</v>
      </c>
      <c r="JJ29" s="75">
        <f t="shared" ca="1" si="7"/>
        <v>0</v>
      </c>
      <c r="JK29" s="75">
        <f t="shared" ca="1" si="8"/>
        <v>0</v>
      </c>
      <c r="JL29" s="75">
        <f t="shared" ca="1" si="9"/>
        <v>0</v>
      </c>
      <c r="JM29" s="75" t="str">
        <f t="shared" ca="1" si="10"/>
        <v/>
      </c>
      <c r="JN29" s="75" t="str">
        <f t="shared" ca="1" si="11"/>
        <v/>
      </c>
    </row>
    <row r="30" spans="1:274" x14ac:dyDescent="0.2">
      <c r="CU30" s="75">
        <f>IF(CB29&lt;&gt;"",CB29,"")</f>
        <v>0</v>
      </c>
      <c r="DU30" s="75">
        <v>28</v>
      </c>
      <c r="DV30" s="75" t="str">
        <f>Tournament!H40</f>
        <v>Ireland</v>
      </c>
      <c r="DW30" s="75">
        <f>IF(AND(Tournament!J40&lt;&gt;"",Tournament!L40&lt;&gt;""),Tournament!J40,0)</f>
        <v>0</v>
      </c>
      <c r="DX30" s="75">
        <f>IF(AND(Tournament!L40&lt;&gt;"",Tournament!J40&lt;&gt;""),Tournament!L40,0)</f>
        <v>0</v>
      </c>
      <c r="DY30" s="75" t="str">
        <f>Tournament!N40</f>
        <v>Italy</v>
      </c>
      <c r="DZ30" s="75">
        <f>IF(Tournament!O40&lt;&gt;"",Tournament!O40,0)</f>
        <v>0</v>
      </c>
      <c r="EA30" s="75">
        <f>IF(Tournament!Q40&lt;&gt;"",Tournament!Q40,0)</f>
        <v>0</v>
      </c>
      <c r="EB30" s="75">
        <f>IF(DW30&lt;&gt;"",IF(Tournament!O40&gt;3,1,0),0)</f>
        <v>1</v>
      </c>
      <c r="EC30" s="75">
        <f>IF(DX30&lt;&gt;"",IF(Tournament!Q40&gt;3,1,0),0)</f>
        <v>1</v>
      </c>
      <c r="ED30" s="75">
        <f t="shared" si="1"/>
        <v>0</v>
      </c>
      <c r="EE30" s="75">
        <f t="shared" si="2"/>
        <v>0</v>
      </c>
      <c r="EF30" s="75" t="str">
        <f>IF(AND(Tournament!J40&lt;&gt;"",Tournament!L40&lt;&gt;""),IF(DW30&gt;DX30,"W",IF(DW30=DX30,"D","L")),"")</f>
        <v/>
      </c>
      <c r="EG30" s="75" t="str">
        <f t="shared" si="3"/>
        <v/>
      </c>
      <c r="IB30" s="75">
        <f ca="1">IF(HI29&lt;&gt;"",HI29,"")</f>
        <v>0</v>
      </c>
      <c r="JB30" s="75">
        <v>28</v>
      </c>
      <c r="JC30" s="75" t="str">
        <f t="shared" si="4"/>
        <v>Ireland</v>
      </c>
      <c r="JD30" s="75" t="str">
        <f ca="1">IF(OFFSET('Prediction Sheet'!$W40,0,JD$1)&lt;&gt;"",OFFSET('Prediction Sheet'!$W40,0,JD$1),"")</f>
        <v/>
      </c>
      <c r="JE30" s="75" t="str">
        <f ca="1">IF(OFFSET('Prediction Sheet'!$Y40,0,JD$1)&lt;&gt;"",OFFSET('Prediction Sheet'!$Y40,0,JD$1),"")</f>
        <v/>
      </c>
      <c r="JF30" s="75" t="str">
        <f t="shared" si="5"/>
        <v>Italy</v>
      </c>
      <c r="JG30" s="75" t="str">
        <f ca="1">IF(OFFSET('Prediction Sheet'!$AA40,0,JF$1)&lt;&gt;"",OFFSET('Prediction Sheet'!$AA40,0,JF$1),"")</f>
        <v/>
      </c>
      <c r="JH30" s="75" t="str">
        <f ca="1">IF(OFFSET('Prediction Sheet'!$AC40,0,JG$1)&lt;&gt;"",OFFSET('Prediction Sheet'!$AC40,0,JG$1),"")</f>
        <v/>
      </c>
      <c r="JI30" s="75">
        <f t="shared" ca="1" si="6"/>
        <v>0</v>
      </c>
      <c r="JJ30" s="75">
        <f t="shared" ca="1" si="7"/>
        <v>0</v>
      </c>
      <c r="JK30" s="75">
        <f t="shared" ca="1" si="8"/>
        <v>0</v>
      </c>
      <c r="JL30" s="75">
        <f t="shared" ca="1" si="9"/>
        <v>0</v>
      </c>
      <c r="JM30" s="75" t="str">
        <f t="shared" ca="1" si="10"/>
        <v/>
      </c>
      <c r="JN30" s="75" t="str">
        <f t="shared" ca="1" si="11"/>
        <v/>
      </c>
    </row>
    <row r="31" spans="1:274" x14ac:dyDescent="0.2">
      <c r="CU31" s="75" t="str">
        <f>IF(CB30&lt;&gt;"",CB30,"")</f>
        <v/>
      </c>
      <c r="DU31" s="75">
        <v>29</v>
      </c>
      <c r="DV31" s="75" t="str">
        <f>Tournament!H41</f>
        <v>Canada</v>
      </c>
      <c r="DW31" s="75">
        <f>IF(AND(Tournament!J41&lt;&gt;"",Tournament!L41&lt;&gt;""),Tournament!J41,0)</f>
        <v>0</v>
      </c>
      <c r="DX31" s="75">
        <f>IF(AND(Tournament!L41&lt;&gt;"",Tournament!J41&lt;&gt;""),Tournament!L41,0)</f>
        <v>0</v>
      </c>
      <c r="DY31" s="75" t="str">
        <f>Tournament!N41</f>
        <v>Romania</v>
      </c>
      <c r="DZ31" s="75">
        <f>IF(Tournament!O41&lt;&gt;"",Tournament!O41,0)</f>
        <v>0</v>
      </c>
      <c r="EA31" s="75">
        <f>IF(Tournament!Q41&lt;&gt;"",Tournament!Q41,0)</f>
        <v>0</v>
      </c>
      <c r="EB31" s="75">
        <f>IF(DW31&lt;&gt;"",IF(Tournament!O41&gt;3,1,0),0)</f>
        <v>1</v>
      </c>
      <c r="EC31" s="75">
        <f>IF(DX31&lt;&gt;"",IF(Tournament!Q41&gt;3,1,0),0)</f>
        <v>1</v>
      </c>
      <c r="ED31" s="75">
        <f t="shared" si="1"/>
        <v>0</v>
      </c>
      <c r="EE31" s="75">
        <f t="shared" si="2"/>
        <v>0</v>
      </c>
      <c r="EF31" s="75" t="str">
        <f>IF(AND(Tournament!J41&lt;&gt;"",Tournament!L41&lt;&gt;""),IF(DW31&gt;DX31,"W",IF(DW31=DX31,"D","L")),"")</f>
        <v/>
      </c>
      <c r="EG31" s="75" t="str">
        <f t="shared" si="3"/>
        <v/>
      </c>
      <c r="IB31" s="75" t="str">
        <f>IF(HI30&lt;&gt;"",HI30,"")</f>
        <v/>
      </c>
      <c r="JB31" s="75">
        <v>29</v>
      </c>
      <c r="JC31" s="75" t="str">
        <f t="shared" si="4"/>
        <v>Canada</v>
      </c>
      <c r="JD31" s="75" t="str">
        <f ca="1">IF(OFFSET('Prediction Sheet'!$W41,0,JD$1)&lt;&gt;"",OFFSET('Prediction Sheet'!$W41,0,JD$1),"")</f>
        <v/>
      </c>
      <c r="JE31" s="75" t="str">
        <f ca="1">IF(OFFSET('Prediction Sheet'!$Y41,0,JD$1)&lt;&gt;"",OFFSET('Prediction Sheet'!$Y41,0,JD$1),"")</f>
        <v/>
      </c>
      <c r="JF31" s="75" t="str">
        <f t="shared" si="5"/>
        <v>Romania</v>
      </c>
      <c r="JG31" s="75" t="str">
        <f ca="1">IF(OFFSET('Prediction Sheet'!$AA41,0,JF$1)&lt;&gt;"",OFFSET('Prediction Sheet'!$AA41,0,JF$1),"")</f>
        <v/>
      </c>
      <c r="JH31" s="75" t="str">
        <f ca="1">IF(OFFSET('Prediction Sheet'!$AC41,0,JG$1)&lt;&gt;"",OFFSET('Prediction Sheet'!$AC41,0,JG$1),"")</f>
        <v/>
      </c>
      <c r="JI31" s="75">
        <f t="shared" ca="1" si="6"/>
        <v>0</v>
      </c>
      <c r="JJ31" s="75">
        <f t="shared" ca="1" si="7"/>
        <v>0</v>
      </c>
      <c r="JK31" s="75">
        <f t="shared" ca="1" si="8"/>
        <v>0</v>
      </c>
      <c r="JL31" s="75">
        <f t="shared" ca="1" si="9"/>
        <v>0</v>
      </c>
      <c r="JM31" s="75" t="str">
        <f t="shared" ca="1" si="10"/>
        <v/>
      </c>
      <c r="JN31" s="75" t="str">
        <f t="shared" ca="1" si="11"/>
        <v/>
      </c>
    </row>
    <row r="32" spans="1:274" x14ac:dyDescent="0.2">
      <c r="B32" s="75" t="s">
        <v>3</v>
      </c>
      <c r="C32" s="75" t="s">
        <v>41</v>
      </c>
      <c r="DU32" s="75">
        <v>30</v>
      </c>
      <c r="DV32" s="75" t="str">
        <f>Tournament!H42</f>
        <v>Fiji</v>
      </c>
      <c r="DW32" s="75">
        <f>IF(AND(Tournament!J42&lt;&gt;"",Tournament!L42&lt;&gt;""),Tournament!J42,0)</f>
        <v>0</v>
      </c>
      <c r="DX32" s="75">
        <f>IF(AND(Tournament!L42&lt;&gt;"",Tournament!J42&lt;&gt;""),Tournament!L42,0)</f>
        <v>0</v>
      </c>
      <c r="DY32" s="75" t="str">
        <f>Tournament!N42</f>
        <v>Uruguay</v>
      </c>
      <c r="DZ32" s="75">
        <f>IF(Tournament!O42&lt;&gt;"",Tournament!O42,0)</f>
        <v>0</v>
      </c>
      <c r="EA32" s="75">
        <f>IF(Tournament!Q42&lt;&gt;"",Tournament!Q42,0)</f>
        <v>0</v>
      </c>
      <c r="EB32" s="75">
        <f>IF(DW32&lt;&gt;"",IF(Tournament!O42&gt;3,1,0),0)</f>
        <v>1</v>
      </c>
      <c r="EC32" s="75">
        <f>IF(DX32&lt;&gt;"",IF(Tournament!Q42&gt;3,1,0),0)</f>
        <v>1</v>
      </c>
      <c r="ED32" s="75">
        <f t="shared" si="1"/>
        <v>0</v>
      </c>
      <c r="EE32" s="75">
        <f t="shared" si="2"/>
        <v>0</v>
      </c>
      <c r="EF32" s="75" t="str">
        <f>IF(AND(Tournament!J42&lt;&gt;"",Tournament!L42&lt;&gt;""),IF(DW32&gt;DX32,"W",IF(DW32=DX32,"D","L")),"")</f>
        <v/>
      </c>
      <c r="EG32" s="75" t="str">
        <f t="shared" si="3"/>
        <v/>
      </c>
      <c r="JB32" s="75">
        <v>30</v>
      </c>
      <c r="JC32" s="75" t="str">
        <f t="shared" si="4"/>
        <v>Fiji</v>
      </c>
      <c r="JD32" s="75" t="str">
        <f ca="1">IF(OFFSET('Prediction Sheet'!$W42,0,JD$1)&lt;&gt;"",OFFSET('Prediction Sheet'!$W42,0,JD$1),"")</f>
        <v/>
      </c>
      <c r="JE32" s="75" t="str">
        <f ca="1">IF(OFFSET('Prediction Sheet'!$Y42,0,JD$1)&lt;&gt;"",OFFSET('Prediction Sheet'!$Y42,0,JD$1),"")</f>
        <v/>
      </c>
      <c r="JF32" s="75" t="str">
        <f t="shared" si="5"/>
        <v>Uruguay</v>
      </c>
      <c r="JG32" s="75" t="str">
        <f ca="1">IF(OFFSET('Prediction Sheet'!$AA42,0,JF$1)&lt;&gt;"",OFFSET('Prediction Sheet'!$AA42,0,JF$1),"")</f>
        <v/>
      </c>
      <c r="JH32" s="75" t="str">
        <f ca="1">IF(OFFSET('Prediction Sheet'!$AC42,0,JG$1)&lt;&gt;"",OFFSET('Prediction Sheet'!$AC42,0,JG$1),"")</f>
        <v/>
      </c>
      <c r="JI32" s="75">
        <f t="shared" ca="1" si="6"/>
        <v>0</v>
      </c>
      <c r="JJ32" s="75">
        <f t="shared" ca="1" si="7"/>
        <v>0</v>
      </c>
      <c r="JK32" s="75">
        <f t="shared" ca="1" si="8"/>
        <v>0</v>
      </c>
      <c r="JL32" s="75">
        <f t="shared" ca="1" si="9"/>
        <v>0</v>
      </c>
      <c r="JM32" s="75" t="str">
        <f t="shared" ca="1" si="10"/>
        <v/>
      </c>
      <c r="JN32" s="75" t="str">
        <f t="shared" ca="1" si="11"/>
        <v/>
      </c>
    </row>
    <row r="33" spans="2:274" x14ac:dyDescent="0.2">
      <c r="B33" s="75" t="s">
        <v>6</v>
      </c>
      <c r="C33" s="75" t="s">
        <v>50</v>
      </c>
      <c r="DU33" s="75">
        <v>31</v>
      </c>
      <c r="DV33" s="75" t="str">
        <f>Tournament!H43</f>
        <v>South Africa</v>
      </c>
      <c r="DW33" s="75">
        <f>IF(AND(Tournament!J43&lt;&gt;"",Tournament!L43&lt;&gt;""),Tournament!J43,0)</f>
        <v>0</v>
      </c>
      <c r="DX33" s="75">
        <f>IF(AND(Tournament!L43&lt;&gt;"",Tournament!J43&lt;&gt;""),Tournament!L43,0)</f>
        <v>0</v>
      </c>
      <c r="DY33" s="75" t="str">
        <f>Tournament!N43</f>
        <v>USA</v>
      </c>
      <c r="DZ33" s="75">
        <f>IF(Tournament!O43&lt;&gt;"",Tournament!O43,0)</f>
        <v>0</v>
      </c>
      <c r="EA33" s="75">
        <f>IF(Tournament!Q43&lt;&gt;"",Tournament!Q43,0)</f>
        <v>0</v>
      </c>
      <c r="EB33" s="75">
        <f>IF(DW33&lt;&gt;"",IF(Tournament!O43&gt;3,1,0),0)</f>
        <v>1</v>
      </c>
      <c r="EC33" s="75">
        <f>IF(DX33&lt;&gt;"",IF(Tournament!Q43&gt;3,1,0),0)</f>
        <v>1</v>
      </c>
      <c r="ED33" s="75">
        <f t="shared" si="1"/>
        <v>0</v>
      </c>
      <c r="EE33" s="75">
        <f t="shared" si="2"/>
        <v>0</v>
      </c>
      <c r="EF33" s="75" t="str">
        <f>IF(AND(Tournament!J43&lt;&gt;"",Tournament!L43&lt;&gt;""),IF(DW33&gt;DX33,"W",IF(DW33=DX33,"D","L")),"")</f>
        <v/>
      </c>
      <c r="EG33" s="75" t="str">
        <f t="shared" si="3"/>
        <v/>
      </c>
      <c r="JB33" s="75">
        <v>31</v>
      </c>
      <c r="JC33" s="75" t="str">
        <f t="shared" si="4"/>
        <v>South Africa</v>
      </c>
      <c r="JD33" s="75" t="str">
        <f ca="1">IF(OFFSET('Prediction Sheet'!$W43,0,JD$1)&lt;&gt;"",OFFSET('Prediction Sheet'!$W43,0,JD$1),"")</f>
        <v/>
      </c>
      <c r="JE33" s="75" t="str">
        <f ca="1">IF(OFFSET('Prediction Sheet'!$Y43,0,JD$1)&lt;&gt;"",OFFSET('Prediction Sheet'!$Y43,0,JD$1),"")</f>
        <v/>
      </c>
      <c r="JF33" s="75" t="str">
        <f t="shared" si="5"/>
        <v>USA</v>
      </c>
      <c r="JG33" s="75" t="str">
        <f ca="1">IF(OFFSET('Prediction Sheet'!$AA43,0,JF$1)&lt;&gt;"",OFFSET('Prediction Sheet'!$AA43,0,JF$1),"")</f>
        <v/>
      </c>
      <c r="JH33" s="75" t="str">
        <f ca="1">IF(OFFSET('Prediction Sheet'!$AC43,0,JG$1)&lt;&gt;"",OFFSET('Prediction Sheet'!$AC43,0,JG$1),"")</f>
        <v/>
      </c>
      <c r="JI33" s="75">
        <f t="shared" ca="1" si="6"/>
        <v>0</v>
      </c>
      <c r="JJ33" s="75">
        <f t="shared" ca="1" si="7"/>
        <v>0</v>
      </c>
      <c r="JK33" s="75">
        <f t="shared" ca="1" si="8"/>
        <v>0</v>
      </c>
      <c r="JL33" s="75">
        <f t="shared" ca="1" si="9"/>
        <v>0</v>
      </c>
      <c r="JM33" s="75" t="str">
        <f t="shared" ca="1" si="10"/>
        <v/>
      </c>
      <c r="JN33" s="75" t="str">
        <f t="shared" ca="1" si="11"/>
        <v/>
      </c>
    </row>
    <row r="34" spans="2:274" x14ac:dyDescent="0.2">
      <c r="B34" s="75" t="s">
        <v>38</v>
      </c>
      <c r="C34" s="75" t="s">
        <v>36</v>
      </c>
      <c r="DU34" s="75">
        <v>32</v>
      </c>
      <c r="DV34" s="75" t="str">
        <f>Tournament!H44</f>
        <v>Namibia</v>
      </c>
      <c r="DW34" s="75">
        <f>IF(AND(Tournament!J44&lt;&gt;"",Tournament!L44&lt;&gt;""),Tournament!J44,0)</f>
        <v>0</v>
      </c>
      <c r="DX34" s="75">
        <f>IF(AND(Tournament!L44&lt;&gt;"",Tournament!J44&lt;&gt;""),Tournament!L44,0)</f>
        <v>0</v>
      </c>
      <c r="DY34" s="75" t="str">
        <f>Tournament!N44</f>
        <v>Georgia</v>
      </c>
      <c r="DZ34" s="75">
        <f>IF(Tournament!O44&lt;&gt;"",Tournament!O44,0)</f>
        <v>0</v>
      </c>
      <c r="EA34" s="75">
        <f>IF(Tournament!Q44&lt;&gt;"",Tournament!Q44,0)</f>
        <v>0</v>
      </c>
      <c r="EB34" s="75">
        <f>IF(DW34&lt;&gt;"",IF(Tournament!O44&gt;3,1,0),0)</f>
        <v>1</v>
      </c>
      <c r="EC34" s="75">
        <f>IF(DX34&lt;&gt;"",IF(Tournament!Q44&gt;3,1,0),0)</f>
        <v>1</v>
      </c>
      <c r="ED34" s="75">
        <f t="shared" si="1"/>
        <v>0</v>
      </c>
      <c r="EE34" s="75">
        <f t="shared" si="2"/>
        <v>0</v>
      </c>
      <c r="EF34" s="75" t="str">
        <f>IF(AND(Tournament!J44&lt;&gt;"",Tournament!L44&lt;&gt;""),IF(DW34&gt;DX34,"W",IF(DW34=DX34,"D","L")),"")</f>
        <v/>
      </c>
      <c r="EG34" s="75" t="str">
        <f t="shared" si="3"/>
        <v/>
      </c>
      <c r="JB34" s="75">
        <v>32</v>
      </c>
      <c r="JC34" s="75" t="str">
        <f t="shared" si="4"/>
        <v>Namibia</v>
      </c>
      <c r="JD34" s="75" t="str">
        <f ca="1">IF(OFFSET('Prediction Sheet'!$W44,0,JD$1)&lt;&gt;"",OFFSET('Prediction Sheet'!$W44,0,JD$1),"")</f>
        <v/>
      </c>
      <c r="JE34" s="75" t="str">
        <f ca="1">IF(OFFSET('Prediction Sheet'!$Y44,0,JD$1)&lt;&gt;"",OFFSET('Prediction Sheet'!$Y44,0,JD$1),"")</f>
        <v/>
      </c>
      <c r="JF34" s="75" t="str">
        <f t="shared" si="5"/>
        <v>Georgia</v>
      </c>
      <c r="JG34" s="75" t="str">
        <f ca="1">IF(OFFSET('Prediction Sheet'!$AA44,0,JF$1)&lt;&gt;"",OFFSET('Prediction Sheet'!$AA44,0,JF$1),"")</f>
        <v/>
      </c>
      <c r="JH34" s="75" t="str">
        <f ca="1">IF(OFFSET('Prediction Sheet'!$AC44,0,JG$1)&lt;&gt;"",OFFSET('Prediction Sheet'!$AC44,0,JG$1),"")</f>
        <v/>
      </c>
      <c r="JI34" s="75">
        <f t="shared" ca="1" si="6"/>
        <v>0</v>
      </c>
      <c r="JJ34" s="75">
        <f t="shared" ca="1" si="7"/>
        <v>0</v>
      </c>
      <c r="JK34" s="75">
        <f t="shared" ca="1" si="8"/>
        <v>0</v>
      </c>
      <c r="JL34" s="75">
        <f t="shared" ca="1" si="9"/>
        <v>0</v>
      </c>
      <c r="JM34" s="75" t="str">
        <f t="shared" ca="1" si="10"/>
        <v/>
      </c>
      <c r="JN34" s="75" t="str">
        <f t="shared" ca="1" si="11"/>
        <v/>
      </c>
    </row>
    <row r="35" spans="2:274" x14ac:dyDescent="0.2">
      <c r="B35" s="75" t="s">
        <v>4</v>
      </c>
      <c r="C35" s="75" t="s">
        <v>55</v>
      </c>
      <c r="DU35" s="75">
        <v>33</v>
      </c>
      <c r="DV35" s="75" t="str">
        <f>Tournament!H45</f>
        <v>New Zealand</v>
      </c>
      <c r="DW35" s="75">
        <f>IF(AND(Tournament!J45&lt;&gt;"",Tournament!L45&lt;&gt;""),Tournament!J45,0)</f>
        <v>0</v>
      </c>
      <c r="DX35" s="75">
        <f>IF(AND(Tournament!L45&lt;&gt;"",Tournament!J45&lt;&gt;""),Tournament!L45,0)</f>
        <v>0</v>
      </c>
      <c r="DY35" s="75" t="str">
        <f>Tournament!N45</f>
        <v>Tonga</v>
      </c>
      <c r="DZ35" s="75">
        <f>IF(Tournament!O45&lt;&gt;"",Tournament!O45,0)</f>
        <v>0</v>
      </c>
      <c r="EA35" s="75">
        <f>IF(Tournament!Q45&lt;&gt;"",Tournament!Q45,0)</f>
        <v>0</v>
      </c>
      <c r="EB35" s="75">
        <f>IF(DW35&lt;&gt;"",IF(Tournament!O45&gt;3,1,0),0)</f>
        <v>1</v>
      </c>
      <c r="EC35" s="75">
        <f>IF(DX35&lt;&gt;"",IF(Tournament!Q45&gt;3,1,0),0)</f>
        <v>1</v>
      </c>
      <c r="ED35" s="75">
        <f t="shared" si="1"/>
        <v>0</v>
      </c>
      <c r="EE35" s="75">
        <f t="shared" si="2"/>
        <v>0</v>
      </c>
      <c r="EF35" s="75" t="str">
        <f>IF(AND(Tournament!J45&lt;&gt;"",Tournament!L45&lt;&gt;""),IF(DW35&gt;DX35,"W",IF(DW35=DX35,"D","L")),"")</f>
        <v/>
      </c>
      <c r="EG35" s="75" t="str">
        <f t="shared" si="3"/>
        <v/>
      </c>
      <c r="JB35" s="75">
        <v>33</v>
      </c>
      <c r="JC35" s="75" t="str">
        <f t="shared" si="4"/>
        <v>New Zealand</v>
      </c>
      <c r="JD35" s="75" t="str">
        <f ca="1">IF(OFFSET('Prediction Sheet'!$W45,0,JD$1)&lt;&gt;"",OFFSET('Prediction Sheet'!$W45,0,JD$1),"")</f>
        <v/>
      </c>
      <c r="JE35" s="75" t="str">
        <f ca="1">IF(OFFSET('Prediction Sheet'!$Y45,0,JD$1)&lt;&gt;"",OFFSET('Prediction Sheet'!$Y45,0,JD$1),"")</f>
        <v/>
      </c>
      <c r="JF35" s="75" t="str">
        <f t="shared" si="5"/>
        <v>Tonga</v>
      </c>
      <c r="JG35" s="75" t="str">
        <f ca="1">IF(OFFSET('Prediction Sheet'!$AA45,0,JF$1)&lt;&gt;"",OFFSET('Prediction Sheet'!$AA45,0,JF$1),"")</f>
        <v/>
      </c>
      <c r="JH35" s="75" t="str">
        <f ca="1">IF(OFFSET('Prediction Sheet'!$AC45,0,JG$1)&lt;&gt;"",OFFSET('Prediction Sheet'!$AC45,0,JG$1),"")</f>
        <v/>
      </c>
      <c r="JI35" s="75">
        <f t="shared" ca="1" si="6"/>
        <v>0</v>
      </c>
      <c r="JJ35" s="75">
        <f t="shared" ca="1" si="7"/>
        <v>0</v>
      </c>
      <c r="JK35" s="75">
        <f t="shared" ca="1" si="8"/>
        <v>0</v>
      </c>
      <c r="JL35" s="75">
        <f t="shared" ca="1" si="9"/>
        <v>0</v>
      </c>
      <c r="JM35" s="75" t="str">
        <f t="shared" ca="1" si="10"/>
        <v/>
      </c>
      <c r="JN35" s="75" t="str">
        <f t="shared" ca="1" si="11"/>
        <v/>
      </c>
    </row>
    <row r="36" spans="2:274" x14ac:dyDescent="0.2">
      <c r="B36" s="75" t="s">
        <v>29</v>
      </c>
      <c r="C36" s="75" t="s">
        <v>56</v>
      </c>
      <c r="DU36" s="75">
        <v>34</v>
      </c>
      <c r="DV36" s="75" t="str">
        <f>Tournament!H46</f>
        <v>Samoa</v>
      </c>
      <c r="DW36" s="75">
        <f>IF(AND(Tournament!J46&lt;&gt;"",Tournament!L46&lt;&gt;""),Tournament!J46,0)</f>
        <v>0</v>
      </c>
      <c r="DX36" s="75">
        <f>IF(AND(Tournament!L46&lt;&gt;"",Tournament!J46&lt;&gt;""),Tournament!L46,0)</f>
        <v>0</v>
      </c>
      <c r="DY36" s="75" t="str">
        <f>Tournament!N46</f>
        <v>Scotland</v>
      </c>
      <c r="DZ36" s="75">
        <f>IF(Tournament!O46&lt;&gt;"",Tournament!O46,0)</f>
        <v>0</v>
      </c>
      <c r="EA36" s="75">
        <f>IF(Tournament!Q46&lt;&gt;"",Tournament!Q46,0)</f>
        <v>0</v>
      </c>
      <c r="EB36" s="75">
        <f>IF(DW36&lt;&gt;"",IF(Tournament!O46&gt;3,1,0),0)</f>
        <v>1</v>
      </c>
      <c r="EC36" s="75">
        <f>IF(DX36&lt;&gt;"",IF(Tournament!Q46&gt;3,1,0),0)</f>
        <v>1</v>
      </c>
      <c r="ED36" s="75">
        <f t="shared" si="1"/>
        <v>0</v>
      </c>
      <c r="EE36" s="75">
        <f t="shared" si="2"/>
        <v>0</v>
      </c>
      <c r="EF36" s="75" t="str">
        <f>IF(AND(Tournament!J46&lt;&gt;"",Tournament!L46&lt;&gt;""),IF(DW36&gt;DX36,"W",IF(DW36=DX36,"D","L")),"")</f>
        <v/>
      </c>
      <c r="EG36" s="75" t="str">
        <f t="shared" si="3"/>
        <v/>
      </c>
      <c r="JB36" s="75">
        <v>34</v>
      </c>
      <c r="JC36" s="75" t="str">
        <f t="shared" si="4"/>
        <v>Samoa</v>
      </c>
      <c r="JD36" s="75" t="str">
        <f ca="1">IF(OFFSET('Prediction Sheet'!$W46,0,JD$1)&lt;&gt;"",OFFSET('Prediction Sheet'!$W46,0,JD$1),"")</f>
        <v/>
      </c>
      <c r="JE36" s="75" t="str">
        <f ca="1">IF(OFFSET('Prediction Sheet'!$Y46,0,JD$1)&lt;&gt;"",OFFSET('Prediction Sheet'!$Y46,0,JD$1),"")</f>
        <v/>
      </c>
      <c r="JF36" s="75" t="str">
        <f t="shared" si="5"/>
        <v>Scotland</v>
      </c>
      <c r="JG36" s="75" t="str">
        <f ca="1">IF(OFFSET('Prediction Sheet'!$AA46,0,JF$1)&lt;&gt;"",OFFSET('Prediction Sheet'!$AA46,0,JF$1),"")</f>
        <v/>
      </c>
      <c r="JH36" s="75" t="str">
        <f ca="1">IF(OFFSET('Prediction Sheet'!$AC46,0,JG$1)&lt;&gt;"",OFFSET('Prediction Sheet'!$AC46,0,JG$1),"")</f>
        <v/>
      </c>
      <c r="JI36" s="75">
        <f t="shared" ca="1" si="6"/>
        <v>0</v>
      </c>
      <c r="JJ36" s="75">
        <f t="shared" ca="1" si="7"/>
        <v>0</v>
      </c>
      <c r="JK36" s="75">
        <f t="shared" ca="1" si="8"/>
        <v>0</v>
      </c>
      <c r="JL36" s="75">
        <f t="shared" ca="1" si="9"/>
        <v>0</v>
      </c>
      <c r="JM36" s="75" t="str">
        <f t="shared" ca="1" si="10"/>
        <v/>
      </c>
      <c r="JN36" s="75" t="str">
        <f t="shared" ca="1" si="11"/>
        <v/>
      </c>
    </row>
    <row r="37" spans="2:274" x14ac:dyDescent="0.2">
      <c r="B37" s="75" t="s">
        <v>18</v>
      </c>
      <c r="C37" s="75" t="s">
        <v>39</v>
      </c>
      <c r="DU37" s="75">
        <v>35</v>
      </c>
      <c r="DV37" s="75" t="str">
        <f>Tournament!H47</f>
        <v>Australia</v>
      </c>
      <c r="DW37" s="75">
        <f>IF(AND(Tournament!J47&lt;&gt;"",Tournament!L47&lt;&gt;""),Tournament!J47,0)</f>
        <v>0</v>
      </c>
      <c r="DX37" s="75">
        <f>IF(AND(Tournament!L47&lt;&gt;"",Tournament!J47&lt;&gt;""),Tournament!L47,0)</f>
        <v>0</v>
      </c>
      <c r="DY37" s="75" t="str">
        <f>Tournament!N47</f>
        <v>Wales</v>
      </c>
      <c r="DZ37" s="75">
        <f>IF(Tournament!O47&lt;&gt;"",Tournament!O47,0)</f>
        <v>0</v>
      </c>
      <c r="EA37" s="75">
        <f>IF(Tournament!Q47&lt;&gt;"",Tournament!Q47,0)</f>
        <v>0</v>
      </c>
      <c r="EB37" s="75">
        <f>IF(DW37&lt;&gt;"",IF(Tournament!O47&gt;3,1,0),0)</f>
        <v>1</v>
      </c>
      <c r="EC37" s="75">
        <f>IF(DX37&lt;&gt;"",IF(Tournament!Q47&gt;3,1,0),0)</f>
        <v>1</v>
      </c>
      <c r="ED37" s="75">
        <f t="shared" si="1"/>
        <v>0</v>
      </c>
      <c r="EE37" s="75">
        <f t="shared" si="2"/>
        <v>0</v>
      </c>
      <c r="EF37" s="75" t="str">
        <f>IF(AND(Tournament!J47&lt;&gt;"",Tournament!L47&lt;&gt;""),IF(DW37&gt;DX37,"W",IF(DW37=DX37,"D","L")),"")</f>
        <v/>
      </c>
      <c r="EG37" s="75" t="str">
        <f t="shared" si="3"/>
        <v/>
      </c>
      <c r="JB37" s="75">
        <v>35</v>
      </c>
      <c r="JC37" s="75" t="str">
        <f t="shared" si="4"/>
        <v>Australia</v>
      </c>
      <c r="JD37" s="75" t="str">
        <f ca="1">IF(OFFSET('Prediction Sheet'!$W47,0,JD$1)&lt;&gt;"",OFFSET('Prediction Sheet'!$W47,0,JD$1),"")</f>
        <v/>
      </c>
      <c r="JE37" s="75" t="str">
        <f ca="1">IF(OFFSET('Prediction Sheet'!$Y47,0,JD$1)&lt;&gt;"",OFFSET('Prediction Sheet'!$Y47,0,JD$1),"")</f>
        <v/>
      </c>
      <c r="JF37" s="75" t="str">
        <f t="shared" si="5"/>
        <v>Wales</v>
      </c>
      <c r="JG37" s="75" t="str">
        <f ca="1">IF(OFFSET('Prediction Sheet'!$AA47,0,JF$1)&lt;&gt;"",OFFSET('Prediction Sheet'!$AA47,0,JF$1),"")</f>
        <v/>
      </c>
      <c r="JH37" s="75" t="str">
        <f ca="1">IF(OFFSET('Prediction Sheet'!$AC47,0,JG$1)&lt;&gt;"",OFFSET('Prediction Sheet'!$AC47,0,JG$1),"")</f>
        <v/>
      </c>
      <c r="JI37" s="75">
        <f t="shared" ca="1" si="6"/>
        <v>0</v>
      </c>
      <c r="JJ37" s="75">
        <f t="shared" ca="1" si="7"/>
        <v>0</v>
      </c>
      <c r="JK37" s="75">
        <f t="shared" ca="1" si="8"/>
        <v>0</v>
      </c>
      <c r="JL37" s="75">
        <f t="shared" ca="1" si="9"/>
        <v>0</v>
      </c>
      <c r="JM37" s="75" t="str">
        <f t="shared" ca="1" si="10"/>
        <v/>
      </c>
      <c r="JN37" s="75" t="str">
        <f t="shared" ca="1" si="11"/>
        <v/>
      </c>
    </row>
    <row r="38" spans="2:274" x14ac:dyDescent="0.2">
      <c r="B38" s="75" t="s">
        <v>35</v>
      </c>
      <c r="C38" s="75" t="s">
        <v>48</v>
      </c>
      <c r="DU38" s="75">
        <v>36</v>
      </c>
      <c r="DV38" s="75" t="str">
        <f>Tournament!H48</f>
        <v>England</v>
      </c>
      <c r="DW38" s="75">
        <f>IF(AND(Tournament!J48&lt;&gt;"",Tournament!L48&lt;&gt;""),Tournament!J48,0)</f>
        <v>0</v>
      </c>
      <c r="DX38" s="75">
        <f>IF(AND(Tournament!L48&lt;&gt;"",Tournament!J48&lt;&gt;""),Tournament!L48,0)</f>
        <v>0</v>
      </c>
      <c r="DY38" s="75" t="str">
        <f>Tournament!N48</f>
        <v>Uruguay</v>
      </c>
      <c r="DZ38" s="75">
        <f>IF(Tournament!O48&lt;&gt;"",Tournament!O48,0)</f>
        <v>0</v>
      </c>
      <c r="EA38" s="75">
        <f>IF(Tournament!Q48&lt;&gt;"",Tournament!Q48,0)</f>
        <v>0</v>
      </c>
      <c r="EB38" s="75">
        <f>IF(DW38&lt;&gt;"",IF(Tournament!O48&gt;3,1,0),0)</f>
        <v>1</v>
      </c>
      <c r="EC38" s="75">
        <f>IF(DX38&lt;&gt;"",IF(Tournament!Q48&gt;3,1,0),0)</f>
        <v>1</v>
      </c>
      <c r="ED38" s="75">
        <f t="shared" si="1"/>
        <v>0</v>
      </c>
      <c r="EE38" s="75">
        <f t="shared" si="2"/>
        <v>0</v>
      </c>
      <c r="EF38" s="75" t="str">
        <f>IF(AND(Tournament!J48&lt;&gt;"",Tournament!L48&lt;&gt;""),IF(DW38&gt;DX38,"W",IF(DW38=DX38,"D","L")),"")</f>
        <v/>
      </c>
      <c r="EG38" s="75" t="str">
        <f t="shared" si="3"/>
        <v/>
      </c>
      <c r="JB38" s="75">
        <v>36</v>
      </c>
      <c r="JC38" s="75" t="str">
        <f t="shared" si="4"/>
        <v>England</v>
      </c>
      <c r="JD38" s="75" t="str">
        <f ca="1">IF(OFFSET('Prediction Sheet'!$W48,0,JD$1)&lt;&gt;"",OFFSET('Prediction Sheet'!$W48,0,JD$1),"")</f>
        <v/>
      </c>
      <c r="JE38" s="75" t="str">
        <f ca="1">IF(OFFSET('Prediction Sheet'!$Y48,0,JD$1)&lt;&gt;"",OFFSET('Prediction Sheet'!$Y48,0,JD$1),"")</f>
        <v/>
      </c>
      <c r="JF38" s="75" t="str">
        <f t="shared" si="5"/>
        <v>Uruguay</v>
      </c>
      <c r="JG38" s="75" t="str">
        <f ca="1">IF(OFFSET('Prediction Sheet'!$AA48,0,JF$1)&lt;&gt;"",OFFSET('Prediction Sheet'!$AA48,0,JF$1),"")</f>
        <v/>
      </c>
      <c r="JH38" s="75" t="str">
        <f ca="1">IF(OFFSET('Prediction Sheet'!$AC48,0,JG$1)&lt;&gt;"",OFFSET('Prediction Sheet'!$AC48,0,JG$1),"")</f>
        <v/>
      </c>
      <c r="JI38" s="75">
        <f t="shared" ca="1" si="6"/>
        <v>0</v>
      </c>
      <c r="JJ38" s="75">
        <f t="shared" ca="1" si="7"/>
        <v>0</v>
      </c>
      <c r="JK38" s="75">
        <f t="shared" ca="1" si="8"/>
        <v>0</v>
      </c>
      <c r="JL38" s="75">
        <f t="shared" ca="1" si="9"/>
        <v>0</v>
      </c>
      <c r="JM38" s="75" t="str">
        <f t="shared" ca="1" si="10"/>
        <v/>
      </c>
      <c r="JN38" s="75" t="str">
        <f t="shared" ca="1" si="11"/>
        <v/>
      </c>
    </row>
    <row r="39" spans="2:274" x14ac:dyDescent="0.2">
      <c r="B39" s="75" t="s">
        <v>37</v>
      </c>
      <c r="C39" s="75" t="s">
        <v>52</v>
      </c>
      <c r="DU39" s="75">
        <v>37</v>
      </c>
      <c r="DV39" s="75" t="str">
        <f>Tournament!H49</f>
        <v>Argentina</v>
      </c>
      <c r="DW39" s="75">
        <f>IF(AND(Tournament!J49&lt;&gt;"",Tournament!L49&lt;&gt;""),Tournament!J49,0)</f>
        <v>0</v>
      </c>
      <c r="DX39" s="75">
        <f>IF(AND(Tournament!L49&lt;&gt;"",Tournament!J49&lt;&gt;""),Tournament!L49,0)</f>
        <v>0</v>
      </c>
      <c r="DY39" s="75" t="str">
        <f>Tournament!N49</f>
        <v>Namibia</v>
      </c>
      <c r="DZ39" s="75">
        <f>IF(Tournament!O49&lt;&gt;"",Tournament!O49,0)</f>
        <v>0</v>
      </c>
      <c r="EA39" s="75">
        <f>IF(Tournament!Q49&lt;&gt;"",Tournament!Q49,0)</f>
        <v>0</v>
      </c>
      <c r="EB39" s="75">
        <f>IF(DW39&lt;&gt;"",IF(Tournament!O49&gt;3,1,0),0)</f>
        <v>1</v>
      </c>
      <c r="EC39" s="75">
        <f>IF(DX39&lt;&gt;"",IF(Tournament!Q49&gt;3,1,0),0)</f>
        <v>1</v>
      </c>
      <c r="ED39" s="75">
        <f t="shared" si="1"/>
        <v>0</v>
      </c>
      <c r="EE39" s="75">
        <f t="shared" si="2"/>
        <v>0</v>
      </c>
      <c r="EF39" s="75" t="str">
        <f>IF(AND(Tournament!J49&lt;&gt;"",Tournament!L49&lt;&gt;""),IF(DW39&gt;DX39,"W",IF(DW39=DX39,"D","L")),"")</f>
        <v/>
      </c>
      <c r="EG39" s="75" t="str">
        <f t="shared" si="3"/>
        <v/>
      </c>
      <c r="JB39" s="75">
        <v>37</v>
      </c>
      <c r="JC39" s="75" t="str">
        <f t="shared" si="4"/>
        <v>Argentina</v>
      </c>
      <c r="JD39" s="75" t="str">
        <f ca="1">IF(OFFSET('Prediction Sheet'!$W49,0,JD$1)&lt;&gt;"",OFFSET('Prediction Sheet'!$W49,0,JD$1),"")</f>
        <v/>
      </c>
      <c r="JE39" s="75" t="str">
        <f ca="1">IF(OFFSET('Prediction Sheet'!$Y49,0,JD$1)&lt;&gt;"",OFFSET('Prediction Sheet'!$Y49,0,JD$1),"")</f>
        <v/>
      </c>
      <c r="JF39" s="75" t="str">
        <f t="shared" si="5"/>
        <v>Namibia</v>
      </c>
      <c r="JG39" s="75" t="str">
        <f ca="1">IF(OFFSET('Prediction Sheet'!$AA49,0,JF$1)&lt;&gt;"",OFFSET('Prediction Sheet'!$AA49,0,JF$1),"")</f>
        <v/>
      </c>
      <c r="JH39" s="75" t="str">
        <f ca="1">IF(OFFSET('Prediction Sheet'!$AC49,0,JG$1)&lt;&gt;"",OFFSET('Prediction Sheet'!$AC49,0,JG$1),"")</f>
        <v/>
      </c>
      <c r="JI39" s="75">
        <f t="shared" ca="1" si="6"/>
        <v>0</v>
      </c>
      <c r="JJ39" s="75">
        <f t="shared" ca="1" si="7"/>
        <v>0</v>
      </c>
      <c r="JK39" s="75">
        <f t="shared" ca="1" si="8"/>
        <v>0</v>
      </c>
      <c r="JL39" s="75">
        <f t="shared" ca="1" si="9"/>
        <v>0</v>
      </c>
      <c r="JM39" s="75" t="str">
        <f t="shared" ca="1" si="10"/>
        <v/>
      </c>
      <c r="JN39" s="75" t="str">
        <f t="shared" ca="1" si="11"/>
        <v/>
      </c>
    </row>
    <row r="40" spans="2:274" x14ac:dyDescent="0.2">
      <c r="B40" s="75" t="s">
        <v>17</v>
      </c>
      <c r="C40" s="75" t="s">
        <v>54</v>
      </c>
      <c r="DU40" s="75">
        <v>38</v>
      </c>
      <c r="DV40" s="75" t="str">
        <f>Tournament!H50</f>
        <v>Italy</v>
      </c>
      <c r="DW40" s="75">
        <f>IF(AND(Tournament!J50&lt;&gt;"",Tournament!L50&lt;&gt;""),Tournament!J50,0)</f>
        <v>0</v>
      </c>
      <c r="DX40" s="75">
        <f>IF(AND(Tournament!L50&lt;&gt;"",Tournament!J50&lt;&gt;""),Tournament!L50,0)</f>
        <v>0</v>
      </c>
      <c r="DY40" s="75" t="str">
        <f>Tournament!N50</f>
        <v>Romania</v>
      </c>
      <c r="DZ40" s="75">
        <f>IF(Tournament!O50&lt;&gt;"",Tournament!O50,0)</f>
        <v>0</v>
      </c>
      <c r="EA40" s="75">
        <f>IF(Tournament!Q50&lt;&gt;"",Tournament!Q50,0)</f>
        <v>0</v>
      </c>
      <c r="EB40" s="75">
        <f>IF(DW40&lt;&gt;"",IF(Tournament!O50&gt;3,1,0),0)</f>
        <v>1</v>
      </c>
      <c r="EC40" s="75">
        <f>IF(DX40&lt;&gt;"",IF(Tournament!Q50&gt;3,1,0),0)</f>
        <v>1</v>
      </c>
      <c r="ED40" s="75">
        <f t="shared" si="1"/>
        <v>0</v>
      </c>
      <c r="EE40" s="75">
        <f t="shared" si="2"/>
        <v>0</v>
      </c>
      <c r="EF40" s="75" t="str">
        <f>IF(AND(Tournament!J50&lt;&gt;"",Tournament!L50&lt;&gt;""),IF(DW40&gt;DX40,"W",IF(DW40=DX40,"D","L")),"")</f>
        <v/>
      </c>
      <c r="EG40" s="75" t="str">
        <f t="shared" si="3"/>
        <v/>
      </c>
      <c r="JB40" s="75">
        <v>38</v>
      </c>
      <c r="JC40" s="75" t="str">
        <f t="shared" si="4"/>
        <v>Italy</v>
      </c>
      <c r="JD40" s="75" t="str">
        <f ca="1">IF(OFFSET('Prediction Sheet'!$W50,0,JD$1)&lt;&gt;"",OFFSET('Prediction Sheet'!$W50,0,JD$1),"")</f>
        <v/>
      </c>
      <c r="JE40" s="75" t="str">
        <f ca="1">IF(OFFSET('Prediction Sheet'!$Y50,0,JD$1)&lt;&gt;"",OFFSET('Prediction Sheet'!$Y50,0,JD$1),"")</f>
        <v/>
      </c>
      <c r="JF40" s="75" t="str">
        <f t="shared" si="5"/>
        <v>Romania</v>
      </c>
      <c r="JG40" s="75" t="str">
        <f ca="1">IF(OFFSET('Prediction Sheet'!$AA50,0,JF$1)&lt;&gt;"",OFFSET('Prediction Sheet'!$AA50,0,JF$1),"")</f>
        <v/>
      </c>
      <c r="JH40" s="75" t="str">
        <f ca="1">IF(OFFSET('Prediction Sheet'!$AC50,0,JG$1)&lt;&gt;"",OFFSET('Prediction Sheet'!$AC50,0,JG$1),"")</f>
        <v/>
      </c>
      <c r="JI40" s="75">
        <f t="shared" ca="1" si="6"/>
        <v>0</v>
      </c>
      <c r="JJ40" s="75">
        <f t="shared" ca="1" si="7"/>
        <v>0</v>
      </c>
      <c r="JK40" s="75">
        <f t="shared" ca="1" si="8"/>
        <v>0</v>
      </c>
      <c r="JL40" s="75">
        <f t="shared" ca="1" si="9"/>
        <v>0</v>
      </c>
      <c r="JM40" s="75" t="str">
        <f t="shared" ca="1" si="10"/>
        <v/>
      </c>
      <c r="JN40" s="75" t="str">
        <f t="shared" ca="1" si="11"/>
        <v/>
      </c>
    </row>
    <row r="41" spans="2:274" x14ac:dyDescent="0.2">
      <c r="B41" s="75" t="s">
        <v>7</v>
      </c>
      <c r="C41" s="75" t="s">
        <v>53</v>
      </c>
      <c r="DU41" s="75">
        <v>39</v>
      </c>
      <c r="DV41" s="75" t="str">
        <f>Tournament!H51</f>
        <v>France</v>
      </c>
      <c r="DW41" s="75">
        <f>IF(AND(Tournament!J51&lt;&gt;"",Tournament!L51&lt;&gt;""),Tournament!J51,0)</f>
        <v>0</v>
      </c>
      <c r="DX41" s="75">
        <f>IF(AND(Tournament!L51&lt;&gt;"",Tournament!J51&lt;&gt;""),Tournament!L51,0)</f>
        <v>0</v>
      </c>
      <c r="DY41" s="75" t="str">
        <f>Tournament!N51</f>
        <v>Ireland</v>
      </c>
      <c r="DZ41" s="75">
        <f>IF(Tournament!O51&lt;&gt;"",Tournament!O51,0)</f>
        <v>0</v>
      </c>
      <c r="EA41" s="75">
        <f>IF(Tournament!Q51&lt;&gt;"",Tournament!Q51,0)</f>
        <v>0</v>
      </c>
      <c r="EB41" s="75">
        <f>IF(DW41&lt;&gt;"",IF(Tournament!O51&gt;3,1,0),0)</f>
        <v>1</v>
      </c>
      <c r="EC41" s="75">
        <f>IF(DX41&lt;&gt;"",IF(Tournament!Q51&gt;3,1,0),0)</f>
        <v>1</v>
      </c>
      <c r="ED41" s="75">
        <f t="shared" si="1"/>
        <v>0</v>
      </c>
      <c r="EE41" s="75">
        <f t="shared" si="2"/>
        <v>0</v>
      </c>
      <c r="EF41" s="75" t="str">
        <f>IF(AND(Tournament!J51&lt;&gt;"",Tournament!L51&lt;&gt;""),IF(DW41&gt;DX41,"W",IF(DW41=DX41,"D","L")),"")</f>
        <v/>
      </c>
      <c r="EG41" s="75" t="str">
        <f t="shared" si="3"/>
        <v/>
      </c>
      <c r="JB41" s="75">
        <v>39</v>
      </c>
      <c r="JC41" s="75" t="str">
        <f t="shared" si="4"/>
        <v>France</v>
      </c>
      <c r="JD41" s="75" t="str">
        <f ca="1">IF(OFFSET('Prediction Sheet'!$W51,0,JD$1)&lt;&gt;"",OFFSET('Prediction Sheet'!$W51,0,JD$1),"")</f>
        <v/>
      </c>
      <c r="JE41" s="75" t="str">
        <f ca="1">IF(OFFSET('Prediction Sheet'!$Y51,0,JD$1)&lt;&gt;"",OFFSET('Prediction Sheet'!$Y51,0,JD$1),"")</f>
        <v/>
      </c>
      <c r="JF41" s="75" t="str">
        <f t="shared" si="5"/>
        <v>Ireland</v>
      </c>
      <c r="JG41" s="75" t="str">
        <f ca="1">IF(OFFSET('Prediction Sheet'!$AA51,0,JF$1)&lt;&gt;"",OFFSET('Prediction Sheet'!$AA51,0,JF$1),"")</f>
        <v/>
      </c>
      <c r="JH41" s="75" t="str">
        <f ca="1">IF(OFFSET('Prediction Sheet'!$AC51,0,JG$1)&lt;&gt;"",OFFSET('Prediction Sheet'!$AC51,0,JG$1),"")</f>
        <v/>
      </c>
      <c r="JI41" s="75">
        <f t="shared" ca="1" si="6"/>
        <v>0</v>
      </c>
      <c r="JJ41" s="75">
        <f t="shared" ca="1" si="7"/>
        <v>0</v>
      </c>
      <c r="JK41" s="75">
        <f t="shared" ca="1" si="8"/>
        <v>0</v>
      </c>
      <c r="JL41" s="75">
        <f t="shared" ca="1" si="9"/>
        <v>0</v>
      </c>
      <c r="JM41" s="75" t="str">
        <f t="shared" ca="1" si="10"/>
        <v/>
      </c>
      <c r="JN41" s="75" t="str">
        <f t="shared" ca="1" si="11"/>
        <v/>
      </c>
    </row>
    <row r="42" spans="2:274" x14ac:dyDescent="0.2">
      <c r="B42" s="75" t="s">
        <v>49</v>
      </c>
      <c r="C42" s="75" t="s">
        <v>33</v>
      </c>
      <c r="DU42" s="75">
        <v>40</v>
      </c>
      <c r="DV42" s="75" t="str">
        <f>Tournament!H52</f>
        <v>USA</v>
      </c>
      <c r="DW42" s="75">
        <f>IF(AND(Tournament!J52&lt;&gt;"",Tournament!L52&lt;&gt;""),Tournament!J52,0)</f>
        <v>0</v>
      </c>
      <c r="DX42" s="75">
        <f>IF(AND(Tournament!L52&lt;&gt;"",Tournament!J52&lt;&gt;""),Tournament!L52,0)</f>
        <v>0</v>
      </c>
      <c r="DY42" s="75" t="str">
        <f>Tournament!N52</f>
        <v>Japan</v>
      </c>
      <c r="DZ42" s="75">
        <f>IF(Tournament!O52&lt;&gt;"",Tournament!O52,0)</f>
        <v>0</v>
      </c>
      <c r="EA42" s="75">
        <f>IF(Tournament!Q52&lt;&gt;"",Tournament!Q52,0)</f>
        <v>0</v>
      </c>
      <c r="EB42" s="75">
        <f>IF(DW42&lt;&gt;"",IF(Tournament!O52&gt;3,1,0),0)</f>
        <v>1</v>
      </c>
      <c r="EC42" s="75">
        <f>IF(DX42&lt;&gt;"",IF(Tournament!Q52&gt;3,1,0),0)</f>
        <v>1</v>
      </c>
      <c r="ED42" s="75">
        <f t="shared" si="1"/>
        <v>0</v>
      </c>
      <c r="EE42" s="75">
        <f t="shared" si="2"/>
        <v>0</v>
      </c>
      <c r="EF42" s="75" t="str">
        <f>IF(AND(Tournament!J52&lt;&gt;"",Tournament!L52&lt;&gt;""),IF(DW42&gt;DX42,"W",IF(DW42=DX42,"D","L")),"")</f>
        <v/>
      </c>
      <c r="EG42" s="75" t="str">
        <f t="shared" si="3"/>
        <v/>
      </c>
      <c r="JB42" s="75">
        <v>40</v>
      </c>
      <c r="JC42" s="75" t="str">
        <f t="shared" si="4"/>
        <v>USA</v>
      </c>
      <c r="JD42" s="75" t="str">
        <f ca="1">IF(OFFSET('Prediction Sheet'!$W52,0,JD$1)&lt;&gt;"",OFFSET('Prediction Sheet'!$W52,0,JD$1),"")</f>
        <v/>
      </c>
      <c r="JE42" s="75" t="str">
        <f ca="1">IF(OFFSET('Prediction Sheet'!$Y52,0,JD$1)&lt;&gt;"",OFFSET('Prediction Sheet'!$Y52,0,JD$1),"")</f>
        <v/>
      </c>
      <c r="JF42" s="75" t="str">
        <f t="shared" si="5"/>
        <v>Japan</v>
      </c>
      <c r="JG42" s="75" t="str">
        <f ca="1">IF(OFFSET('Prediction Sheet'!$AA52,0,JF$1)&lt;&gt;"",OFFSET('Prediction Sheet'!$AA52,0,JF$1),"")</f>
        <v/>
      </c>
      <c r="JH42" s="75" t="str">
        <f ca="1">IF(OFFSET('Prediction Sheet'!$AC52,0,JG$1)&lt;&gt;"",OFFSET('Prediction Sheet'!$AC52,0,JG$1),"")</f>
        <v/>
      </c>
      <c r="JI42" s="75">
        <f t="shared" ca="1" si="6"/>
        <v>0</v>
      </c>
      <c r="JJ42" s="75">
        <f t="shared" ca="1" si="7"/>
        <v>0</v>
      </c>
      <c r="JK42" s="75">
        <f t="shared" ca="1" si="8"/>
        <v>0</v>
      </c>
      <c r="JL42" s="75">
        <f t="shared" ca="1" si="9"/>
        <v>0</v>
      </c>
      <c r="JM42" s="75" t="str">
        <f t="shared" ca="1" si="10"/>
        <v/>
      </c>
      <c r="JN42" s="75" t="str">
        <f t="shared" ca="1" si="11"/>
        <v/>
      </c>
    </row>
    <row r="43" spans="2:274" x14ac:dyDescent="0.2">
      <c r="B43" s="75" t="s">
        <v>44</v>
      </c>
      <c r="C43" s="75" t="s">
        <v>51</v>
      </c>
    </row>
    <row r="44" spans="2:274" x14ac:dyDescent="0.2">
      <c r="B44" s="75" t="s">
        <v>47</v>
      </c>
      <c r="C44" s="75" t="s">
        <v>45</v>
      </c>
    </row>
    <row r="45" spans="2:274" x14ac:dyDescent="0.2">
      <c r="B45" s="75" t="s">
        <v>42</v>
      </c>
    </row>
    <row r="46" spans="2:274" x14ac:dyDescent="0.2">
      <c r="B46" s="75" t="s">
        <v>46</v>
      </c>
    </row>
    <row r="47" spans="2:274" x14ac:dyDescent="0.2">
      <c r="B47" s="75" t="s">
        <v>40</v>
      </c>
    </row>
    <row r="48" spans="2:274" x14ac:dyDescent="0.2">
      <c r="B48" s="75" t="s">
        <v>34</v>
      </c>
    </row>
    <row r="49" spans="2:2" x14ac:dyDescent="0.2">
      <c r="B49" s="75" t="s">
        <v>2</v>
      </c>
    </row>
    <row r="50" spans="2:2" x14ac:dyDescent="0.2">
      <c r="B50" s="75" t="s">
        <v>5</v>
      </c>
    </row>
    <row r="51" spans="2:2" x14ac:dyDescent="0.2">
      <c r="B51" s="75" t="s">
        <v>43</v>
      </c>
    </row>
  </sheetData>
  <sheetProtection algorithmName="SHA-512" hashValue="aXYBW2V2ko6Ai6HZ7N/RGzw4UbR3Acw6reZ/s5g7oCmMrIeWNR60ho6i/tvN13E3OOBgr2y7++LSaaeZf5Xl7Q==" saltValue="uDeZt1Yvxt2MeWGjJ2BKUA==" spinCount="100000" sheet="1" objects="1" scenarios="1" selectLockedCells="1" selectUnlockedCells="1"/>
  <sortState ref="C32:C70">
    <sortCondition ref="C70"/>
  </sortState>
  <phoneticPr fontId="1"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Prediction Sheet</vt:lpstr>
      <vt:lpstr>Copyright</vt:lpstr>
      <vt:lpstr>Copyright-2</vt:lpstr>
      <vt:lpstr>Tournament</vt:lpstr>
      <vt:lpstr>Dummy Table</vt:lpstr>
      <vt:lpstr>PoolTeam</vt:lpstr>
      <vt:lpstr>'Prediction Sheet'!Print_Area</vt:lpstr>
      <vt:lpstr>Tournament!Print_Area</vt:lpstr>
      <vt:lpstr>Venues</vt:lpstr>
    </vt:vector>
  </TitlesOfParts>
  <Company>Exceltemplate.net</Company>
  <LinksUpToDate>false</LinksUpToDate>
  <SharedDoc>false</SharedDoc>
  <HyperlinkBase>http://exceltemplate.net/</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Rugby World Cup 2015 Schedule and Scoresheet</dc:title>
  <dc:creator>R. Musadya</dc:creator>
  <cp:keywords>world cup 2015, rugby world cup 2015 schedule, rugby world cup 2015 spreadsheet, RWC 2015, rugby tournament spreadsheet</cp:keywords>
  <cp:lastModifiedBy>IT</cp:lastModifiedBy>
  <cp:lastPrinted>2015-08-20T07:24:19Z</cp:lastPrinted>
  <dcterms:created xsi:type="dcterms:W3CDTF">2008-04-13T01:23:18Z</dcterms:created>
  <dcterms:modified xsi:type="dcterms:W3CDTF">2019-07-26T12:47:09Z</dcterms:modified>
  <cp:category>Sport Spreadsheet</cp:category>
</cp:coreProperties>
</file>